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pivotTables/pivotTable1.xml" ContentType="application/vnd.openxmlformats-officedocument.spreadsheetml.pivotTable+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C:\Users\XuanPT4\Desktop\"/>
    </mc:Choice>
  </mc:AlternateContent>
  <bookViews>
    <workbookView xWindow="0" yWindow="0" windowWidth="19200" windowHeight="6470" firstSheet="1" activeTab="2"/>
  </bookViews>
  <sheets>
    <sheet name="Cover" sheetId="13" r:id="rId1"/>
    <sheet name="Syllabus" sheetId="7" r:id="rId2"/>
    <sheet name="Schedule" sheetId="11" r:id="rId3"/>
    <sheet name="DV-IDENTITY-0" sheetId="10" state="veryHidden" r:id="rId4"/>
    <sheet name="Map Supplier" sheetId="15" r:id="rId5"/>
    <sheet name="Author and Rec of Changes" sheetId="9" r:id="rId6"/>
    <sheet name="Record Of Change" sheetId="14" r:id="rId7"/>
  </sheets>
  <definedNames>
    <definedName name="_xlnm._FilterDatabase" localSheetId="4" hidden="1">'Map Supplier'!$A$1:$B$144</definedName>
    <definedName name="_xlnm._FilterDatabase" localSheetId="2" hidden="1">Schedule!$A$2:$J$63</definedName>
    <definedName name="_xlnm._FilterDatabase" hidden="1">#REF!</definedName>
  </definedNames>
  <calcPr calcId="162913"/>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7" l="1"/>
  <c r="H65" i="11" l="1"/>
  <c r="Q5" i="10"/>
  <c r="P5" i="10"/>
  <c r="O5" i="10"/>
  <c r="N5" i="10"/>
  <c r="M5" i="10"/>
  <c r="L5" i="10"/>
  <c r="K5" i="10"/>
  <c r="J5" i="10"/>
  <c r="I5" i="10"/>
  <c r="H5" i="10"/>
  <c r="G5" i="10"/>
  <c r="F5" i="10"/>
  <c r="E5" i="10"/>
  <c r="D5" i="10"/>
  <c r="C5" i="10"/>
  <c r="B5" i="10"/>
  <c r="A5" i="10"/>
  <c r="AM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D4" i="10"/>
  <c r="C4" i="10"/>
  <c r="B4" i="10"/>
  <c r="A4" i="10"/>
  <c r="IV3" i="10"/>
  <c r="IU3" i="10"/>
  <c r="IT3" i="10"/>
  <c r="IS3" i="10"/>
  <c r="IR3" i="10"/>
  <c r="IQ3" i="10"/>
  <c r="IP3" i="10"/>
  <c r="IO3" i="10"/>
  <c r="IN3" i="10"/>
  <c r="IM3" i="10"/>
  <c r="IL3" i="10"/>
  <c r="IK3" i="10"/>
  <c r="IJ3" i="10"/>
  <c r="II3" i="10"/>
  <c r="IH3" i="10"/>
  <c r="IG3" i="10"/>
  <c r="IF3" i="10"/>
  <c r="IE3" i="10"/>
  <c r="ID3" i="10"/>
  <c r="IC3" i="10"/>
  <c r="IB3" i="10"/>
  <c r="IA3" i="10"/>
  <c r="HZ3" i="10"/>
  <c r="HY3" i="10"/>
  <c r="HX3" i="10"/>
  <c r="HW3" i="10"/>
  <c r="HV3" i="10"/>
  <c r="HU3" i="10"/>
  <c r="HT3" i="10"/>
  <c r="HS3" i="10"/>
  <c r="HR3" i="10"/>
  <c r="HQ3" i="10"/>
  <c r="HP3" i="10"/>
  <c r="HO3" i="10"/>
  <c r="HN3" i="10"/>
  <c r="HM3" i="10"/>
  <c r="HL3" i="10"/>
  <c r="HK3" i="10"/>
  <c r="HJ3" i="10"/>
  <c r="HI3" i="10"/>
  <c r="HH3" i="10"/>
  <c r="HG3" i="10"/>
  <c r="HF3" i="10"/>
  <c r="HE3" i="10"/>
  <c r="HD3" i="10"/>
  <c r="HC3" i="10"/>
  <c r="HB3" i="10"/>
  <c r="HA3" i="10"/>
  <c r="GZ3" i="10"/>
  <c r="GY3" i="10"/>
  <c r="GX3" i="10"/>
  <c r="GW3" i="10"/>
  <c r="GV3" i="10"/>
  <c r="GU3" i="10"/>
  <c r="GT3" i="10"/>
  <c r="GS3" i="10"/>
  <c r="GR3" i="10"/>
  <c r="GQ3" i="10"/>
  <c r="GP3" i="10"/>
  <c r="GO3" i="10"/>
  <c r="GN3" i="10"/>
  <c r="GM3" i="10"/>
  <c r="GL3" i="10"/>
  <c r="GK3" i="10"/>
  <c r="GJ3" i="10"/>
  <c r="GI3" i="10"/>
  <c r="GH3" i="10"/>
  <c r="GG3" i="10"/>
  <c r="GF3" i="10"/>
  <c r="GE3" i="10"/>
  <c r="GD3" i="10"/>
  <c r="GC3" i="10"/>
  <c r="GB3" i="10"/>
  <c r="GA3" i="10"/>
  <c r="FZ3" i="10"/>
  <c r="FY3" i="10"/>
  <c r="FX3" i="10"/>
  <c r="FW3" i="10"/>
  <c r="FV3" i="10"/>
  <c r="FU3" i="10"/>
  <c r="FT3" i="10"/>
  <c r="FS3" i="10"/>
  <c r="FR3" i="10"/>
  <c r="FQ3" i="10"/>
  <c r="FP3" i="10"/>
  <c r="FO3" i="10"/>
  <c r="FN3" i="10"/>
  <c r="FM3" i="10"/>
  <c r="FL3" i="10"/>
  <c r="FK3" i="10"/>
  <c r="FJ3" i="10"/>
  <c r="FI3" i="10"/>
  <c r="FH3" i="10"/>
  <c r="FG3" i="10"/>
  <c r="FF3" i="10"/>
  <c r="FE3" i="10"/>
  <c r="FD3" i="10"/>
  <c r="FC3" i="10"/>
  <c r="FB3" i="10"/>
  <c r="FA3" i="10"/>
  <c r="EZ3" i="10"/>
  <c r="EY3" i="10"/>
  <c r="EX3" i="10"/>
  <c r="EW3" i="10"/>
  <c r="EV3" i="10"/>
  <c r="EU3" i="10"/>
  <c r="ET3" i="10"/>
  <c r="ES3" i="10"/>
  <c r="ER3" i="10"/>
  <c r="EQ3" i="10"/>
  <c r="EP3" i="10"/>
  <c r="EO3" i="10"/>
  <c r="EN3" i="10"/>
  <c r="EM3" i="10"/>
  <c r="EL3" i="10"/>
  <c r="EK3" i="10"/>
  <c r="EJ3" i="10"/>
  <c r="EI3" i="10"/>
  <c r="EH3" i="10"/>
  <c r="EG3" i="10"/>
  <c r="EF3" i="10"/>
  <c r="EE3" i="10"/>
  <c r="ED3" i="10"/>
  <c r="EC3" i="10"/>
  <c r="EB3" i="10"/>
  <c r="EA3" i="10"/>
  <c r="DZ3" i="10"/>
  <c r="DY3" i="10"/>
  <c r="DX3" i="10"/>
  <c r="DW3" i="10"/>
  <c r="DV3" i="10"/>
  <c r="DU3" i="10"/>
  <c r="DT3" i="10"/>
  <c r="DS3" i="10"/>
  <c r="DR3" i="10"/>
  <c r="DQ3" i="10"/>
  <c r="DP3" i="10"/>
  <c r="DO3" i="10"/>
  <c r="DN3" i="10"/>
  <c r="DM3" i="10"/>
  <c r="DL3" i="10"/>
  <c r="DK3" i="10"/>
  <c r="DJ3" i="10"/>
  <c r="DI3" i="10"/>
  <c r="DH3" i="10"/>
  <c r="DG3" i="10"/>
  <c r="DF3" i="10"/>
  <c r="DE3" i="10"/>
  <c r="DD3" i="10"/>
  <c r="DC3" i="10"/>
  <c r="DB3" i="10"/>
  <c r="DA3" i="10"/>
  <c r="CZ3" i="10"/>
  <c r="CY3" i="10"/>
  <c r="CX3" i="10"/>
  <c r="CW3" i="10"/>
  <c r="CV3" i="10"/>
  <c r="CU3" i="10"/>
  <c r="CT3" i="10"/>
  <c r="CS3" i="10"/>
  <c r="CR3" i="10"/>
  <c r="CQ3" i="10"/>
  <c r="CP3" i="10"/>
  <c r="CO3" i="10"/>
  <c r="CN3" i="10"/>
  <c r="CM3" i="10"/>
  <c r="CL3" i="10"/>
  <c r="CK3" i="10"/>
  <c r="CJ3" i="10"/>
  <c r="CI3" i="10"/>
  <c r="CH3" i="10"/>
  <c r="CG3" i="10"/>
  <c r="CF3" i="10"/>
  <c r="CE3" i="10"/>
  <c r="CD3" i="10"/>
  <c r="CC3" i="10"/>
  <c r="CB3" i="10"/>
  <c r="CA3" i="10"/>
  <c r="BZ3" i="10"/>
  <c r="BY3" i="10"/>
  <c r="BX3" i="10"/>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G3" i="10"/>
  <c r="AF3" i="10"/>
  <c r="AE3" i="10"/>
  <c r="AD3" i="10"/>
  <c r="AC3" i="10"/>
  <c r="AB3" i="10"/>
  <c r="AA3" i="10"/>
  <c r="Z3" i="10"/>
  <c r="Y3" i="10"/>
  <c r="X3" i="10"/>
  <c r="W3" i="10"/>
  <c r="V3" i="10"/>
  <c r="U3" i="10"/>
  <c r="T3" i="10"/>
  <c r="S3" i="10"/>
  <c r="R3" i="10"/>
  <c r="Q3" i="10"/>
  <c r="P3" i="10"/>
  <c r="O3" i="10"/>
  <c r="N3" i="10"/>
  <c r="M3" i="10"/>
  <c r="L3" i="10"/>
  <c r="K3" i="10"/>
  <c r="J3" i="10"/>
  <c r="I3" i="10"/>
  <c r="H3" i="10"/>
  <c r="G3" i="10"/>
  <c r="F3" i="10"/>
  <c r="E3" i="10"/>
  <c r="D3" i="10"/>
  <c r="C3" i="10"/>
  <c r="B3" i="10"/>
  <c r="A3" i="10"/>
  <c r="IV2" i="10"/>
  <c r="IU2" i="10"/>
  <c r="IT2" i="10"/>
  <c r="IS2" i="10"/>
  <c r="IR2" i="10"/>
  <c r="IQ2" i="10"/>
  <c r="IP2" i="10"/>
  <c r="IO2" i="10"/>
  <c r="IN2" i="10"/>
  <c r="IM2" i="10"/>
  <c r="IL2" i="10"/>
  <c r="IK2" i="10"/>
  <c r="IJ2" i="10"/>
  <c r="II2" i="10"/>
  <c r="IH2" i="10"/>
  <c r="IG2" i="10"/>
  <c r="IF2" i="10"/>
  <c r="IE2" i="10"/>
  <c r="ID2" i="10"/>
  <c r="IC2" i="10"/>
  <c r="IB2" i="10"/>
  <c r="IA2" i="10"/>
  <c r="HZ2" i="10"/>
  <c r="HY2" i="10"/>
  <c r="HX2" i="10"/>
  <c r="HW2" i="10"/>
  <c r="HV2" i="10"/>
  <c r="HU2" i="10"/>
  <c r="HT2" i="10"/>
  <c r="HS2" i="10"/>
  <c r="HR2" i="10"/>
  <c r="HQ2" i="10"/>
  <c r="HP2" i="10"/>
  <c r="HO2" i="10"/>
  <c r="HN2" i="10"/>
  <c r="HM2" i="10"/>
  <c r="HL2" i="10"/>
  <c r="HK2" i="10"/>
  <c r="HJ2" i="10"/>
  <c r="HI2" i="10"/>
  <c r="HH2" i="10"/>
  <c r="HG2" i="10"/>
  <c r="HF2" i="10"/>
  <c r="HE2" i="10"/>
  <c r="HD2" i="10"/>
  <c r="HC2" i="10"/>
  <c r="HB2" i="10"/>
  <c r="HA2" i="10"/>
  <c r="GZ2" i="10"/>
  <c r="GY2" i="10"/>
  <c r="GX2" i="10"/>
  <c r="GW2" i="10"/>
  <c r="GV2" i="10"/>
  <c r="GU2" i="10"/>
  <c r="GT2" i="10"/>
  <c r="GS2" i="10"/>
  <c r="GR2" i="10"/>
  <c r="GQ2" i="10"/>
  <c r="GP2" i="10"/>
  <c r="GO2" i="10"/>
  <c r="GN2" i="10"/>
  <c r="GM2" i="10"/>
  <c r="GL2" i="10"/>
  <c r="GK2" i="10"/>
  <c r="GJ2" i="10"/>
  <c r="GI2" i="10"/>
  <c r="GH2" i="10"/>
  <c r="GG2" i="10"/>
  <c r="GF2" i="10"/>
  <c r="GE2" i="10"/>
  <c r="GD2" i="10"/>
  <c r="GC2" i="10"/>
  <c r="GB2" i="10"/>
  <c r="GA2" i="10"/>
  <c r="FZ2" i="10"/>
  <c r="FY2" i="10"/>
  <c r="FX2" i="10"/>
  <c r="FW2" i="10"/>
  <c r="FV2" i="10"/>
  <c r="FU2" i="10"/>
  <c r="FT2" i="10"/>
  <c r="FS2" i="10"/>
  <c r="FR2" i="10"/>
  <c r="FQ2" i="10"/>
  <c r="FP2" i="10"/>
  <c r="FO2" i="10"/>
  <c r="FN2" i="10"/>
  <c r="FM2" i="10"/>
  <c r="FL2" i="10"/>
  <c r="FK2" i="10"/>
  <c r="FJ2" i="10"/>
  <c r="FI2" i="10"/>
  <c r="FH2" i="10"/>
  <c r="FG2" i="10"/>
  <c r="FF2" i="10"/>
  <c r="FE2" i="10"/>
  <c r="FD2" i="10"/>
  <c r="FC2" i="10"/>
  <c r="FB2" i="10"/>
  <c r="FA2" i="10"/>
  <c r="EZ2" i="10"/>
  <c r="EY2" i="10"/>
  <c r="EX2" i="10"/>
  <c r="EW2" i="10"/>
  <c r="EV2" i="10"/>
  <c r="EU2" i="10"/>
  <c r="ET2" i="10"/>
  <c r="ES2" i="10"/>
  <c r="ER2" i="10"/>
  <c r="EQ2" i="10"/>
  <c r="EP2" i="10"/>
  <c r="EO2" i="10"/>
  <c r="EN2" i="10"/>
  <c r="EM2" i="10"/>
  <c r="EL2" i="10"/>
  <c r="EK2" i="10"/>
  <c r="EJ2" i="10"/>
  <c r="EI2" i="10"/>
  <c r="EH2" i="10"/>
  <c r="EG2" i="10"/>
  <c r="EF2" i="10"/>
  <c r="EE2" i="10"/>
  <c r="ED2" i="10"/>
  <c r="EC2" i="10"/>
  <c r="EB2" i="10"/>
  <c r="EA2" i="10"/>
  <c r="DZ2" i="10"/>
  <c r="DY2" i="10"/>
  <c r="DX2" i="10"/>
  <c r="DW2" i="10"/>
  <c r="DV2" i="10"/>
  <c r="DU2" i="10"/>
  <c r="DT2" i="10"/>
  <c r="DS2" i="10"/>
  <c r="DR2" i="10"/>
  <c r="DQ2" i="10"/>
  <c r="DP2" i="10"/>
  <c r="DO2" i="10"/>
  <c r="DN2" i="10"/>
  <c r="DM2" i="10"/>
  <c r="DL2" i="10"/>
  <c r="DK2" i="10"/>
  <c r="DJ2" i="10"/>
  <c r="DI2" i="10"/>
  <c r="DH2" i="10"/>
  <c r="DG2" i="10"/>
  <c r="DF2" i="10"/>
  <c r="DE2" i="10"/>
  <c r="DD2" i="10"/>
  <c r="DC2" i="10"/>
  <c r="DB2" i="10"/>
  <c r="DA2" i="10"/>
  <c r="CZ2" i="10"/>
  <c r="CY2" i="10"/>
  <c r="CX2" i="10"/>
  <c r="CW2" i="10"/>
  <c r="CV2" i="10"/>
  <c r="CU2" i="10"/>
  <c r="CT2" i="10"/>
  <c r="CS2" i="10"/>
  <c r="CR2" i="10"/>
  <c r="CQ2" i="10"/>
  <c r="CP2" i="10"/>
  <c r="CO2" i="10"/>
  <c r="CN2" i="10"/>
  <c r="CM2" i="10"/>
  <c r="CL2" i="10"/>
  <c r="CK2" i="10"/>
  <c r="CJ2" i="10"/>
  <c r="CI2" i="10"/>
  <c r="CH2" i="10"/>
  <c r="CG2" i="10"/>
  <c r="CF2" i="10"/>
  <c r="CE2" i="10"/>
  <c r="CD2" i="10"/>
  <c r="CC2" i="10"/>
  <c r="CB2" i="10"/>
  <c r="CA2" i="10"/>
  <c r="BZ2" i="10"/>
  <c r="BY2" i="10"/>
  <c r="BX2" i="10"/>
  <c r="BW2" i="10"/>
  <c r="BV2" i="10"/>
  <c r="BU2" i="10"/>
  <c r="BT2" i="10"/>
  <c r="BS2" i="10"/>
  <c r="BR2" i="10"/>
  <c r="BQ2" i="10"/>
  <c r="BP2" i="10"/>
  <c r="BO2" i="10"/>
  <c r="BN2" i="10"/>
  <c r="BM2" i="10"/>
  <c r="BL2" i="10"/>
  <c r="BK2" i="10"/>
  <c r="BJ2" i="10"/>
  <c r="BI2" i="10"/>
  <c r="BH2" i="10"/>
  <c r="BG2" i="10"/>
  <c r="BF2" i="10"/>
  <c r="BE2" i="10"/>
  <c r="BD2" i="10"/>
  <c r="BC2" i="10"/>
  <c r="BB2" i="10"/>
  <c r="BA2" i="10"/>
  <c r="AZ2" i="10"/>
  <c r="AY2" i="10"/>
  <c r="AX2" i="10"/>
  <c r="AW2" i="10"/>
  <c r="AV2" i="10"/>
  <c r="AU2" i="10"/>
  <c r="AT2"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2" i="10"/>
  <c r="A2" i="10"/>
  <c r="IV1" i="10"/>
  <c r="IU1" i="10"/>
  <c r="IT1" i="10"/>
  <c r="IS1" i="10"/>
  <c r="IR1" i="10"/>
  <c r="IQ1" i="10"/>
  <c r="IP1" i="10"/>
  <c r="IO1" i="10"/>
  <c r="IN1" i="10"/>
  <c r="IM1" i="10"/>
  <c r="IL1" i="10"/>
  <c r="IK1" i="10"/>
  <c r="IJ1" i="10"/>
  <c r="II1" i="10"/>
  <c r="IH1" i="10"/>
  <c r="IG1" i="10"/>
  <c r="IF1" i="10"/>
  <c r="IE1" i="10"/>
  <c r="ID1" i="10"/>
  <c r="IC1" i="10"/>
  <c r="IB1" i="10"/>
  <c r="IA1" i="10"/>
  <c r="HZ1" i="10"/>
  <c r="HY1" i="10"/>
  <c r="HX1" i="10"/>
  <c r="HW1" i="10"/>
  <c r="HV1" i="10"/>
  <c r="HU1" i="10"/>
  <c r="HT1" i="10"/>
  <c r="HS1" i="10"/>
  <c r="HR1" i="10"/>
  <c r="HQ1" i="10"/>
  <c r="HP1" i="10"/>
  <c r="HO1" i="10"/>
  <c r="HN1" i="10"/>
  <c r="HM1" i="10"/>
  <c r="HL1" i="10"/>
  <c r="HK1" i="10"/>
  <c r="HJ1" i="10"/>
  <c r="HI1" i="10"/>
  <c r="HH1" i="10"/>
  <c r="HG1" i="10"/>
  <c r="HF1" i="10"/>
  <c r="HE1" i="10"/>
  <c r="HD1" i="10"/>
  <c r="HC1" i="10"/>
  <c r="HB1" i="10"/>
  <c r="HA1" i="10"/>
  <c r="GZ1" i="10"/>
  <c r="GY1" i="10"/>
  <c r="GX1" i="10"/>
  <c r="GW1" i="10"/>
  <c r="GV1" i="10"/>
  <c r="GU1" i="10"/>
  <c r="GT1" i="10"/>
  <c r="GS1" i="10"/>
  <c r="GR1" i="10"/>
  <c r="GQ1" i="10"/>
  <c r="GP1" i="10"/>
  <c r="GO1" i="10"/>
  <c r="GN1" i="10"/>
  <c r="GM1" i="10"/>
  <c r="GL1" i="10"/>
  <c r="GK1" i="10"/>
  <c r="GJ1" i="10"/>
  <c r="GI1" i="10"/>
  <c r="GH1" i="10"/>
  <c r="GG1" i="10"/>
  <c r="GF1" i="10"/>
  <c r="GE1" i="10"/>
  <c r="GD1" i="10"/>
  <c r="GC1" i="10"/>
  <c r="GB1" i="10"/>
  <c r="GA1" i="10"/>
  <c r="FZ1" i="10"/>
  <c r="FY1" i="10"/>
  <c r="FX1" i="10"/>
  <c r="FW1" i="10"/>
  <c r="FV1" i="10"/>
  <c r="FU1" i="10"/>
  <c r="FT1" i="10"/>
  <c r="FS1" i="10"/>
  <c r="FR1" i="10"/>
  <c r="FQ1" i="10"/>
  <c r="FP1" i="10"/>
  <c r="FO1" i="10"/>
  <c r="FN1" i="10"/>
  <c r="FM1" i="10"/>
  <c r="FL1" i="10"/>
  <c r="FK1" i="10"/>
  <c r="FJ1" i="10"/>
  <c r="FI1" i="10"/>
  <c r="FH1" i="10"/>
  <c r="FG1" i="10"/>
  <c r="FF1" i="10"/>
  <c r="FE1" i="10"/>
  <c r="FD1" i="10"/>
  <c r="FC1" i="10"/>
  <c r="FB1" i="10"/>
  <c r="FA1" i="10"/>
  <c r="EZ1" i="10"/>
  <c r="EY1" i="10"/>
  <c r="EX1" i="10"/>
  <c r="EW1" i="10"/>
  <c r="EV1" i="10"/>
  <c r="EU1" i="10"/>
  <c r="ET1" i="10"/>
  <c r="ES1" i="10"/>
  <c r="ER1" i="10"/>
  <c r="EQ1" i="10"/>
  <c r="EP1" i="10"/>
  <c r="EO1" i="10"/>
  <c r="EN1" i="10"/>
  <c r="EM1" i="10"/>
  <c r="EL1" i="10"/>
  <c r="EK1" i="10"/>
  <c r="EJ1" i="10"/>
  <c r="EI1" i="10"/>
  <c r="EH1" i="10"/>
  <c r="EG1" i="10"/>
  <c r="EF1" i="10"/>
  <c r="EE1" i="10"/>
  <c r="ED1" i="10"/>
  <c r="EB1" i="10"/>
  <c r="EA1" i="10"/>
  <c r="DZ1" i="10"/>
  <c r="DY1" i="10"/>
  <c r="DX1" i="10"/>
  <c r="DW1" i="10"/>
  <c r="DV1" i="10"/>
  <c r="DT1" i="10"/>
  <c r="DS1" i="10"/>
  <c r="DR1" i="10"/>
  <c r="DQ1" i="10"/>
  <c r="DP1" i="10"/>
  <c r="DO1" i="10"/>
  <c r="DN1" i="10"/>
  <c r="DL1" i="10"/>
  <c r="DK1" i="10"/>
  <c r="DJ1" i="10"/>
  <c r="DI1" i="10"/>
  <c r="DH1" i="10"/>
  <c r="DG1" i="10"/>
  <c r="DF1" i="10"/>
  <c r="DD1" i="10"/>
  <c r="DC1" i="10"/>
  <c r="DB1" i="10"/>
  <c r="DA1" i="10"/>
  <c r="CZ1" i="10"/>
  <c r="CY1" i="10"/>
  <c r="CX1" i="10"/>
  <c r="CV1" i="10"/>
  <c r="CU1" i="10"/>
  <c r="CT1" i="10"/>
  <c r="CS1" i="10"/>
  <c r="CR1" i="10"/>
  <c r="CQ1" i="10"/>
  <c r="CP1" i="10"/>
  <c r="CO1" i="10"/>
  <c r="CN1" i="10"/>
  <c r="CM1" i="10"/>
  <c r="CL1" i="10"/>
  <c r="CK1" i="10"/>
  <c r="CJ1" i="10"/>
  <c r="CI1" i="10"/>
  <c r="CH1" i="10"/>
  <c r="CG1" i="10"/>
  <c r="CF1" i="10"/>
  <c r="CE1" i="10"/>
  <c r="CD1" i="10"/>
  <c r="CC1" i="10"/>
  <c r="CB1" i="10"/>
  <c r="CA1" i="10"/>
  <c r="BZ1" i="10"/>
  <c r="BY1" i="10"/>
  <c r="BX1" i="10"/>
  <c r="BW1" i="10"/>
  <c r="BV1" i="10"/>
  <c r="BU1" i="10"/>
  <c r="BT1" i="10"/>
  <c r="BS1" i="10"/>
  <c r="BR1" i="10"/>
  <c r="BQ1" i="10"/>
  <c r="BP1" i="10"/>
  <c r="BO1" i="10"/>
  <c r="BN1" i="10"/>
  <c r="BM1" i="10"/>
  <c r="BL1" i="10"/>
  <c r="BK1" i="10"/>
  <c r="BJ1" i="10"/>
  <c r="BI1" i="10"/>
  <c r="BH1" i="10"/>
  <c r="BG1" i="10"/>
  <c r="BF1" i="10"/>
  <c r="BE1" i="10"/>
  <c r="BD1" i="10"/>
  <c r="BC1" i="10"/>
  <c r="BB1" i="10"/>
  <c r="BA1" i="10"/>
  <c r="AZ1" i="10"/>
  <c r="AY1" i="10"/>
  <c r="AX1" i="10"/>
  <c r="AW1" i="10"/>
  <c r="AV1" i="10"/>
  <c r="AU1" i="10"/>
  <c r="AT1" i="10"/>
  <c r="AS1" i="10"/>
  <c r="AR1" i="10"/>
  <c r="AQ1" i="10"/>
  <c r="AP1" i="10"/>
  <c r="AO1" i="10"/>
  <c r="AN1" i="10"/>
  <c r="AM1" i="10"/>
  <c r="AL1" i="10"/>
  <c r="AK1" i="10"/>
  <c r="AJ1" i="10"/>
  <c r="AI1" i="10"/>
  <c r="AH1" i="10"/>
  <c r="AG1" i="10"/>
  <c r="AF1" i="10"/>
  <c r="AE1" i="10"/>
  <c r="AD1" i="10"/>
  <c r="AC1" i="10"/>
  <c r="AB1" i="10"/>
  <c r="AA1" i="10"/>
  <c r="Z1" i="10"/>
  <c r="Y1" i="10"/>
  <c r="X1" i="10"/>
  <c r="W1" i="10"/>
  <c r="V1" i="10"/>
  <c r="U1" i="10"/>
  <c r="T1" i="10"/>
  <c r="S1" i="10"/>
  <c r="R1" i="10"/>
  <c r="Q1" i="10"/>
  <c r="P1" i="10"/>
  <c r="O1" i="10"/>
  <c r="N1" i="10"/>
  <c r="M1" i="10"/>
  <c r="L1" i="10"/>
  <c r="K1" i="10"/>
  <c r="J1" i="10"/>
  <c r="I1" i="10"/>
  <c r="H1" i="10"/>
  <c r="G1" i="10"/>
  <c r="F1" i="10"/>
  <c r="E1" i="10"/>
  <c r="D1" i="10"/>
  <c r="C1" i="10"/>
  <c r="B1" i="10"/>
  <c r="A1" i="10"/>
  <c r="H69" i="11"/>
  <c r="H68" i="11"/>
  <c r="H67" i="11"/>
  <c r="H66" i="11"/>
  <c r="A1" i="11"/>
  <c r="CW1" i="10"/>
  <c r="H70" i="11" l="1"/>
  <c r="J69" i="11" s="1"/>
  <c r="D19" i="7" s="1"/>
  <c r="EC1" i="10" s="1"/>
  <c r="J66" i="11" l="1"/>
  <c r="D16" i="7" s="1"/>
  <c r="DE1" i="10" s="1"/>
  <c r="J68" i="11"/>
  <c r="D18" i="7" s="1"/>
  <c r="DU1" i="10" s="1"/>
  <c r="J65" i="11"/>
  <c r="D15" i="7" s="1"/>
  <c r="J67" i="11"/>
  <c r="D17" i="7" s="1"/>
  <c r="DM1" i="10" s="1"/>
  <c r="J70" i="11" l="1"/>
</calcChain>
</file>

<file path=xl/comments1.xml><?xml version="1.0" encoding="utf-8"?>
<comments xmlns="http://schemas.openxmlformats.org/spreadsheetml/2006/main">
  <authors>
    <author>Vu Thi Kieu Anh (FHO.FWA)</author>
  </authors>
  <commentList>
    <comment ref="B2" authorId="0" shapeId="0">
      <text>
        <r>
          <rPr>
            <sz val="9"/>
            <rFont val="Tahoma"/>
            <family val="2"/>
          </rPr>
          <t xml:space="preserve">chỉ dành cho khóa offline
</t>
        </r>
      </text>
    </comment>
  </commentList>
</comments>
</file>

<file path=xl/sharedStrings.xml><?xml version="1.0" encoding="utf-8"?>
<sst xmlns="http://schemas.openxmlformats.org/spreadsheetml/2006/main" count="1038" uniqueCount="547">
  <si>
    <t>Template</t>
  </si>
  <si>
    <t>AI INTERACTION MASTERY SYLLABUS</t>
  </si>
  <si>
    <t>Document Code</t>
  </si>
  <si>
    <t>26e-BM/HR/HDCV/FSOFT</t>
  </si>
  <si>
    <t>Version</t>
  </si>
  <si>
    <t>1.2</t>
  </si>
  <si>
    <t>Effective Date</t>
  </si>
  <si>
    <t>24/04/2020</t>
  </si>
  <si>
    <t>&lt;The purpose of Syllabus is to design a Topic or Module, identify objectives, make schedule, assessment method, etc.</t>
  </si>
  <si>
    <t>Based on that, Content Owner can make courseware and develop storyboarding&gt;</t>
  </si>
  <si>
    <t>Topic Name</t>
  </si>
  <si>
    <t>Topic Code</t>
  </si>
  <si>
    <t>v0.0</t>
  </si>
  <si>
    <t>Training Audience</t>
  </si>
  <si>
    <t>Đối tượng cần cải thiện việc giao tiếp bằng Tiếng Anh</t>
  </si>
  <si>
    <t>Input Level *</t>
  </si>
  <si>
    <t>B1</t>
  </si>
  <si>
    <t>Output Level *</t>
  </si>
  <si>
    <t>Course Objectives</t>
  </si>
  <si>
    <t>Topic Outline</t>
  </si>
  <si>
    <t>Time Allocation</t>
  </si>
  <si>
    <t>Concept/Lecture</t>
  </si>
  <si>
    <t>&lt;Concepts, theory&gt;</t>
  </si>
  <si>
    <t>Assignment/Lab</t>
  </si>
  <si>
    <t>&lt;Assignment, Lab&gt;</t>
  </si>
  <si>
    <t>Guides/Review</t>
  </si>
  <si>
    <t>&lt;Quiz, assignment review
Assignment guides&gt;</t>
  </si>
  <si>
    <t>Test/Quiz</t>
  </si>
  <si>
    <t>&lt;Daily quiz&gt;</t>
  </si>
  <si>
    <t>Exam</t>
  </si>
  <si>
    <t>&lt;Pre-Test, Final Topic Test&gt;</t>
  </si>
  <si>
    <t>Training Materials &amp; Environments</t>
  </si>
  <si>
    <t>Text book</t>
  </si>
  <si>
    <t>References</t>
  </si>
  <si>
    <t>Logistics requirements</t>
  </si>
  <si>
    <t>Assessment Scheme</t>
  </si>
  <si>
    <t>Quiz</t>
  </si>
  <si>
    <t>N/A</t>
  </si>
  <si>
    <t>Assignments</t>
  </si>
  <si>
    <t>Final Test</t>
  </si>
  <si>
    <t>Passing criteria</t>
  </si>
  <si>
    <t>Training Delivery Principles</t>
  </si>
  <si>
    <t>Trainees</t>
  </si>
  <si>
    <t>Fsofters</t>
  </si>
  <si>
    <t>Trainer</t>
  </si>
  <si>
    <t>Supplier*</t>
  </si>
  <si>
    <t>Owner*</t>
  </si>
  <si>
    <t>LTI</t>
  </si>
  <si>
    <t>Re-Test</t>
  </si>
  <si>
    <t>Marking</t>
  </si>
  <si>
    <t>Waiver Criteria</t>
  </si>
  <si>
    <t>Others</t>
  </si>
  <si>
    <t>Training Unit/Chapter</t>
  </si>
  <si>
    <t>Day</t>
  </si>
  <si>
    <t>Lecture</t>
  </si>
  <si>
    <t>Topic Name *</t>
  </si>
  <si>
    <t>Content</t>
  </si>
  <si>
    <t>Outcomes*</t>
  </si>
  <si>
    <t>Delivery Type</t>
  </si>
  <si>
    <t>Duration* (mins)</t>
  </si>
  <si>
    <t>Format*</t>
  </si>
  <si>
    <t>Training Materials / Logistics &amp; General Notes
(Required, For Reference, etc.)</t>
  </si>
  <si>
    <t>Topic 1</t>
  </si>
  <si>
    <t>Lecture 1</t>
  </si>
  <si>
    <t>Virtual</t>
  </si>
  <si>
    <t>Topic 2</t>
  </si>
  <si>
    <t>Lecture 2</t>
  </si>
  <si>
    <t>Topic 3</t>
  </si>
  <si>
    <t>Lecture 3</t>
  </si>
  <si>
    <t>Topic 4</t>
  </si>
  <si>
    <t>Lecture 4</t>
  </si>
  <si>
    <t>Topic 5</t>
  </si>
  <si>
    <t>Lecture 5</t>
  </si>
  <si>
    <t>Topic 6</t>
  </si>
  <si>
    <t>Lecture 6</t>
  </si>
  <si>
    <t>Topic 7</t>
  </si>
  <si>
    <t>Lecture 7</t>
  </si>
  <si>
    <t>Topic 8</t>
  </si>
  <si>
    <t>Lecture 8</t>
  </si>
  <si>
    <t>Topic 9</t>
  </si>
  <si>
    <t>Lecture 9</t>
  </si>
  <si>
    <t>Topic 10</t>
  </si>
  <si>
    <t>Lecture 10</t>
  </si>
  <si>
    <t>Topic 11</t>
  </si>
  <si>
    <t>Lecture 11</t>
  </si>
  <si>
    <t>Topic 12</t>
  </si>
  <si>
    <t>Lecture 12</t>
  </si>
  <si>
    <t>Topic 13</t>
  </si>
  <si>
    <t>Lecture 13</t>
  </si>
  <si>
    <t>Topic 14</t>
  </si>
  <si>
    <t>Lecture 14</t>
  </si>
  <si>
    <t>Topic 15</t>
  </si>
  <si>
    <t>Lecture 15</t>
  </si>
  <si>
    <t>Topic 16</t>
  </si>
  <si>
    <t>Lecture 16</t>
  </si>
  <si>
    <t>Topic 17</t>
  </si>
  <si>
    <t>Lecture 17</t>
  </si>
  <si>
    <t>Topic 18</t>
  </si>
  <si>
    <t>Lecture 18</t>
  </si>
  <si>
    <t>Topic 19</t>
  </si>
  <si>
    <t>Lecture 19</t>
  </si>
  <si>
    <t>Topic 20</t>
  </si>
  <si>
    <t>Lecture 20</t>
  </si>
  <si>
    <t>Total</t>
  </si>
  <si>
    <t>AAAAAH/rVCM=</t>
  </si>
  <si>
    <t>AAAAAH/rVCQ=</t>
  </si>
  <si>
    <t>AAAAAH/rVCU=</t>
  </si>
  <si>
    <t>Supplier</t>
  </si>
  <si>
    <t>Map Supplier</t>
  </si>
  <si>
    <t>(cá nhân) Trương Lê Na</t>
  </si>
  <si>
    <t>AEC</t>
  </si>
  <si>
    <t>AEC Academy</t>
  </si>
  <si>
    <t>BLA</t>
  </si>
  <si>
    <t>Cambly</t>
  </si>
  <si>
    <t>ChauNTN2</t>
  </si>
  <si>
    <t>FSOFT</t>
  </si>
  <si>
    <t>Cô Trần Mỹ Quỳnh</t>
  </si>
  <si>
    <t>Công Ty TNHH Tiếng Đức TP. Hồ Chí Minh</t>
  </si>
  <si>
    <t>Đại học Ngoại ngữ Đà Nẵng</t>
  </si>
  <si>
    <t>ĐH</t>
  </si>
  <si>
    <t>Đào Thanh Nga (NgaDT56)</t>
  </si>
  <si>
    <t>ĐHNN Đà Nẵng</t>
  </si>
  <si>
    <t>Đỗ Phương Quỳnh</t>
  </si>
  <si>
    <t>ĐÔNG DU</t>
  </si>
  <si>
    <t>Đông Du &amp; FJP.LDI</t>
  </si>
  <si>
    <t>Đông Du HCM</t>
  </si>
  <si>
    <t>Đông Du HN</t>
  </si>
  <si>
    <t>Đông Du Partner</t>
  </si>
  <si>
    <t>Khoa Tiếng Đức - Trường ĐHKH XH &amp; NV</t>
  </si>
  <si>
    <t>Dung Mori</t>
  </si>
  <si>
    <t>DUNGMORI</t>
  </si>
  <si>
    <t>Dũng Mori</t>
  </si>
  <si>
    <t>Dung Mori Partner</t>
  </si>
  <si>
    <t>DungMori Partner</t>
  </si>
  <si>
    <t>EIV</t>
  </si>
  <si>
    <t>EIV and Elsa Speak</t>
  </si>
  <si>
    <t>EIY</t>
  </si>
  <si>
    <t>EIY Lan Anh Nguyễn</t>
  </si>
  <si>
    <t>Mika Mizuyama</t>
  </si>
  <si>
    <t>ELSA</t>
  </si>
  <si>
    <t>Mizuyama</t>
  </si>
  <si>
    <t>ELSA &amp; Talkin English</t>
  </si>
  <si>
    <t>Takashi Tamamura</t>
  </si>
  <si>
    <t>ELSA Premium</t>
  </si>
  <si>
    <t>Equest</t>
  </si>
  <si>
    <t>EQuest and Elsa Speak</t>
  </si>
  <si>
    <t>EQuest Đôn Thư</t>
  </si>
  <si>
    <t>Equest, ELSA</t>
  </si>
  <si>
    <t>Equest, ELSA Speak</t>
  </si>
  <si>
    <t>FCT</t>
  </si>
  <si>
    <t>DUNGMORI Self-Learning</t>
  </si>
  <si>
    <t>FGC</t>
  </si>
  <si>
    <t>FIC ASAHI</t>
  </si>
  <si>
    <t>FJP.LDI</t>
  </si>
  <si>
    <t>FJP</t>
  </si>
  <si>
    <t>Fsoft</t>
  </si>
  <si>
    <t>FSOFT - FGC.MTL</t>
  </si>
  <si>
    <t>FSOFT (FGC)</t>
  </si>
  <si>
    <t>FSOFT (Internal Trainer)</t>
  </si>
  <si>
    <t>FSOFT (LLTI)</t>
  </si>
  <si>
    <t>FSOFT (LTI)</t>
  </si>
  <si>
    <t>FSOFT LTI</t>
  </si>
  <si>
    <t>FSOFT(FCT)</t>
  </si>
  <si>
    <t>FSOFT(LTI)</t>
  </si>
  <si>
    <t>Fsofter</t>
  </si>
  <si>
    <t>Giảng viên Lương Văn Tuyển</t>
  </si>
  <si>
    <t>Giảng viên nội bộ - LTI</t>
  </si>
  <si>
    <t>LTI.TA</t>
  </si>
  <si>
    <t>Giảng viên nội bộ FSOFT</t>
  </si>
  <si>
    <t>Giáo viên nội bộ FGC</t>
  </si>
  <si>
    <t>GLOBISH</t>
  </si>
  <si>
    <t>Globish, ELSA, KTDC</t>
  </si>
  <si>
    <t>Globish, KTDC, ELSA Speak</t>
  </si>
  <si>
    <t>HauTH9</t>
  </si>
  <si>
    <t>HienHNM - LTI.TA</t>
  </si>
  <si>
    <t>HieuLN12 - Le Ngoc Hieu</t>
  </si>
  <si>
    <t>HIRAI</t>
  </si>
  <si>
    <t>Hiromichi Yamamoto</t>
  </si>
  <si>
    <t>Hoc1on1</t>
  </si>
  <si>
    <t>IIG</t>
  </si>
  <si>
    <t>IIG Academy</t>
  </si>
  <si>
    <t>IIG, ELSA</t>
  </si>
  <si>
    <t>Impactus</t>
  </si>
  <si>
    <t>KhanhNTM, ThuyNT115</t>
  </si>
  <si>
    <t>KOKORO</t>
  </si>
  <si>
    <t>Komaki</t>
  </si>
  <si>
    <t>KTDC</t>
  </si>
  <si>
    <t>KTDC and ELSA Speak</t>
  </si>
  <si>
    <t>KTDC Business/ ELSA &amp; Globish</t>
  </si>
  <si>
    <t>KTDC, Globish, ELSA Speak</t>
  </si>
  <si>
    <t>Language Link</t>
  </si>
  <si>
    <t>Language Training Institute (LTI)</t>
  </si>
  <si>
    <t>LeDTN6</t>
  </si>
  <si>
    <t>LinhDTT14 - FGC.COM</t>
  </si>
  <si>
    <t>LinhDTT14 - LTI.TA</t>
  </si>
  <si>
    <t>LinhNT115, AnhLT132</t>
  </si>
  <si>
    <t>MyTTK1</t>
  </si>
  <si>
    <t>NganNTV1 - FGC KR</t>
  </si>
  <si>
    <t>LTI TA</t>
  </si>
  <si>
    <t>NhanHX</t>
  </si>
  <si>
    <t>NhanNTM3</t>
  </si>
  <si>
    <t>LTI.TO</t>
  </si>
  <si>
    <t>NyLNA</t>
  </si>
  <si>
    <t>Lương Văn Tuyển</t>
  </si>
  <si>
    <t>PhuongNT1354</t>
  </si>
  <si>
    <t>PhuongNT1354 - FSG TSS</t>
  </si>
  <si>
    <t>QuocTV2; DaiNTT5; VyVNK</t>
  </si>
  <si>
    <t>Mr. Lưu Vũ Quốc Gia</t>
  </si>
  <si>
    <t>QuynhHN6 - FGC KN</t>
  </si>
  <si>
    <t>Multicampus</t>
  </si>
  <si>
    <t>SangNH23</t>
  </si>
  <si>
    <t>TamTLM NhanHX</t>
  </si>
  <si>
    <t>New Windows - Cô Lê Thị Diệu Hiền</t>
  </si>
  <si>
    <t>NewWindows</t>
  </si>
  <si>
    <t>THANHBTL</t>
  </si>
  <si>
    <t>NewWindows_Cần Thơ</t>
  </si>
  <si>
    <t>ThaoND25</t>
  </si>
  <si>
    <t>ThienLP2</t>
  </si>
  <si>
    <t>NgocCTM - LTI.TA</t>
  </si>
  <si>
    <t>ThienPL2</t>
  </si>
  <si>
    <t>NgocPTH - LTI.TO</t>
  </si>
  <si>
    <t>ThuyDTN3</t>
  </si>
  <si>
    <t>Nguyễn Thị Huyền -Midori</t>
  </si>
  <si>
    <t>Midori</t>
  </si>
  <si>
    <t>ThuyNM4</t>
  </si>
  <si>
    <t>Nguyễn Văn Lập (External)</t>
  </si>
  <si>
    <t>Nguyễn Văn Lập</t>
  </si>
  <si>
    <t>TrangDT32</t>
  </si>
  <si>
    <t>YenBH - FGC MTL</t>
  </si>
  <si>
    <t>NONE</t>
  </si>
  <si>
    <t>Optimus</t>
  </si>
  <si>
    <t>Optimus and Elsa</t>
  </si>
  <si>
    <t>Optimus and ELSA Speak</t>
  </si>
  <si>
    <t>RIKI</t>
  </si>
  <si>
    <t>Riki Nihongo</t>
  </si>
  <si>
    <t>RIKI Nihongo _ FSOFT (LTI)</t>
  </si>
  <si>
    <t>RIKI Partner &amp; FSOFT (FGC)</t>
  </si>
  <si>
    <t>Riki Trainer</t>
  </si>
  <si>
    <t>RIKI/DUNG MORI</t>
  </si>
  <si>
    <t>RIKI/DŨNG MORI</t>
  </si>
  <si>
    <t>SAKURA</t>
  </si>
  <si>
    <t>Seiki Kaori</t>
  </si>
  <si>
    <t>Seki Kaori</t>
  </si>
  <si>
    <t>SOFL</t>
  </si>
  <si>
    <t>ThanhMaiHSK</t>
  </si>
  <si>
    <t>thầy Phạm Minh Hưng</t>
  </si>
  <si>
    <t>TienNTH - LTI.TA</t>
  </si>
  <si>
    <t>Trần Đức Hải Triều</t>
  </si>
  <si>
    <t>Trần Mỹ Quỳnh</t>
  </si>
  <si>
    <t>TrieuTDH</t>
  </si>
  <si>
    <t>trung tâm Multicampus</t>
  </si>
  <si>
    <t>Vendor NewWindows</t>
  </si>
  <si>
    <t>VitaminK</t>
  </si>
  <si>
    <t>VMP</t>
  </si>
  <si>
    <t>Vòng Ngọc Yến</t>
  </si>
  <si>
    <t>Yamamoto Mai</t>
  </si>
  <si>
    <t>Riki Self-Learning</t>
  </si>
  <si>
    <t>Grand Total</t>
  </si>
  <si>
    <t>AUTHORSHIP</t>
  </si>
  <si>
    <t>Role</t>
  </si>
  <si>
    <t>Name</t>
  </si>
  <si>
    <t>Account</t>
  </si>
  <si>
    <t>Unit</t>
  </si>
  <si>
    <t>Notes</t>
  </si>
  <si>
    <t>Creator</t>
  </si>
  <si>
    <t>Huỳnh Thái Vân</t>
  </si>
  <si>
    <t>VanHT5</t>
  </si>
  <si>
    <t>Reviewer</t>
  </si>
  <si>
    <t>Phan Khánh Chi</t>
  </si>
  <si>
    <t>ChiPK1</t>
  </si>
  <si>
    <t>Approver</t>
  </si>
  <si>
    <t>Phạm Thanh Hòa</t>
  </si>
  <si>
    <t>HoaPT1</t>
  </si>
  <si>
    <t>RECORD OF CHANGES</t>
  </si>
  <si>
    <t>*A - Added M - Modified D - Deleted</t>
  </si>
  <si>
    <t>Date</t>
  </si>
  <si>
    <t>Changes</t>
  </si>
  <si>
    <t>A*
M, D</t>
  </si>
  <si>
    <t>Contents</t>
  </si>
  <si>
    <t>RECORD OF CHANGE</t>
  </si>
  <si>
    <t>No.</t>
  </si>
  <si>
    <t>Change Description</t>
  </si>
  <si>
    <t>Reason</t>
  </si>
  <si>
    <t>1</t>
  </si>
  <si>
    <t>20/06/2012</t>
  </si>
  <si>
    <t>1.0</t>
  </si>
  <si>
    <t>- Transfer from Human Resource Handbook to Training Handbook 
- Change Document code:  "CV/NS/HDCV/FSOFT" into "CV/KD/FSOFT" (remove HDCV)</t>
  </si>
  <si>
    <t>- According to DatPP’s requirement: easy  managging, finding
- to fit the Document management needs</t>
  </si>
  <si>
    <t>TrangLTQ</t>
  </si>
  <si>
    <t>DanPM</t>
  </si>
  <si>
    <t>2</t>
  </si>
  <si>
    <t>20/11/2012</t>
  </si>
  <si>
    <t>1.1</t>
  </si>
  <si>
    <t>Change structure teplate &amp; document content</t>
  </si>
  <si>
    <t>To fit the actual need</t>
  </si>
  <si>
    <t>3</t>
  </si>
  <si>
    <t>Add collunm: Lecture, Learning Objectives, Training format.</t>
  </si>
  <si>
    <r>
      <t xml:space="preserve">In details, after completing the course, trainees will:
</t>
    </r>
    <r>
      <rPr>
        <i/>
        <sz val="10"/>
        <rFont val="Arial"/>
        <family val="2"/>
      </rPr>
      <t>- Confidently network and communicate in business settings.
- Use key business vocabulary for IT and task delegation.
- Deliver presentations and manage meetings effectively.
- Handle negotiations, conflicts, and workplace challenges.
- Apply skills to real-world business scenarios.</t>
    </r>
  </si>
  <si>
    <t>Vendor</t>
  </si>
  <si>
    <t>Introduction and Networking</t>
  </si>
  <si>
    <t>Networking Practice</t>
  </si>
  <si>
    <t>Organization Basics</t>
  </si>
  <si>
    <t>Describing Your Organization</t>
  </si>
  <si>
    <t>Revision 1</t>
  </si>
  <si>
    <t>English for IT</t>
  </si>
  <si>
    <t>IT Communication Practice</t>
  </si>
  <si>
    <t>Cross-Cultural Skills</t>
  </si>
  <si>
    <t>Cross-Cultural Business Situations</t>
  </si>
  <si>
    <t>Revision 2</t>
  </si>
  <si>
    <t>Updating and Delegating Tasks</t>
  </si>
  <si>
    <t>Managing Task Updates</t>
  </si>
  <si>
    <t>Making Suggestions and Decisions</t>
  </si>
  <si>
    <t>Persuasive Business Communication</t>
  </si>
  <si>
    <t>Revision 3</t>
  </si>
  <si>
    <t>Explaining Features and Benefits</t>
  </si>
  <si>
    <t>Persuasive Selling</t>
  </si>
  <si>
    <t>Problems and Solutions</t>
  </si>
  <si>
    <t>Handling Workplace Issues</t>
  </si>
  <si>
    <t>Final Review</t>
  </si>
  <si>
    <t>Topic 21</t>
  </si>
  <si>
    <t>Topic 22</t>
  </si>
  <si>
    <t>Topic 23</t>
  </si>
  <si>
    <t>Topic 24</t>
  </si>
  <si>
    <t>Topic 25</t>
  </si>
  <si>
    <t>Topic 26</t>
  </si>
  <si>
    <t>Topic 27</t>
  </si>
  <si>
    <t>Topic 28</t>
  </si>
  <si>
    <t>Topic 29</t>
  </si>
  <si>
    <t>Topic 30</t>
  </si>
  <si>
    <t>Topic 31</t>
  </si>
  <si>
    <t>Topic 32</t>
  </si>
  <si>
    <t>Topic 33</t>
  </si>
  <si>
    <t>Topic 34</t>
  </si>
  <si>
    <t>Topic 35</t>
  </si>
  <si>
    <t>Topic 36</t>
  </si>
  <si>
    <t>Topic 37</t>
  </si>
  <si>
    <t>Topic 38</t>
  </si>
  <si>
    <t>Topic 39</t>
  </si>
  <si>
    <t>Topic 40</t>
  </si>
  <si>
    <t>Topic 41</t>
  </si>
  <si>
    <t>Topic 42</t>
  </si>
  <si>
    <t>Topic 43</t>
  </si>
  <si>
    <t>Topic 44</t>
  </si>
  <si>
    <t>Topic 45</t>
  </si>
  <si>
    <t>Topic 46</t>
  </si>
  <si>
    <t>Topic 47</t>
  </si>
  <si>
    <t>Topic 48</t>
  </si>
  <si>
    <t>Topic 49</t>
  </si>
  <si>
    <t>Topic 50</t>
  </si>
  <si>
    <t>Topic 51</t>
  </si>
  <si>
    <t>Topic 52</t>
  </si>
  <si>
    <t>Topic 53</t>
  </si>
  <si>
    <t>Topic 54</t>
  </si>
  <si>
    <t>Topic 55</t>
  </si>
  <si>
    <t>Topic 56</t>
  </si>
  <si>
    <t>Topic 57</t>
  </si>
  <si>
    <t>Topic 58</t>
  </si>
  <si>
    <t>Topic 59</t>
  </si>
  <si>
    <t>Topic 60</t>
  </si>
  <si>
    <t>Lecture 21</t>
  </si>
  <si>
    <t>Lecture 22</t>
  </si>
  <si>
    <t>Lecture 23</t>
  </si>
  <si>
    <t>Lecture 24</t>
  </si>
  <si>
    <t>Lecture 25</t>
  </si>
  <si>
    <t>Lecture 26</t>
  </si>
  <si>
    <t>Lecture 27</t>
  </si>
  <si>
    <t>Lecture 28</t>
  </si>
  <si>
    <t>Lecture 29</t>
  </si>
  <si>
    <t>Lecture 30</t>
  </si>
  <si>
    <t>Lecture 31</t>
  </si>
  <si>
    <t>Lecture 32</t>
  </si>
  <si>
    <t>Lecture 33</t>
  </si>
  <si>
    <t>Lecture 34</t>
  </si>
  <si>
    <t>Lecture 35</t>
  </si>
  <si>
    <t>Lecture 36</t>
  </si>
  <si>
    <t>Lecture 37</t>
  </si>
  <si>
    <t>Lecture 38</t>
  </si>
  <si>
    <t>Lecture 39</t>
  </si>
  <si>
    <t>Lecture 40</t>
  </si>
  <si>
    <t>Lecture 41</t>
  </si>
  <si>
    <t>Lecture 42</t>
  </si>
  <si>
    <t>Lecture 43</t>
  </si>
  <si>
    <t>Lecture 44</t>
  </si>
  <si>
    <t>Lecture 45</t>
  </si>
  <si>
    <t>Lecture 46</t>
  </si>
  <si>
    <t>Lecture 47</t>
  </si>
  <si>
    <t>Lecture 48</t>
  </si>
  <si>
    <t>Lecture 49</t>
  </si>
  <si>
    <t>Lecture 50</t>
  </si>
  <si>
    <t>Lecture 51</t>
  </si>
  <si>
    <t>Lecture 52</t>
  </si>
  <si>
    <t>Lecture 53</t>
  </si>
  <si>
    <t>Lecture 54</t>
  </si>
  <si>
    <t>Lecture 55</t>
  </si>
  <si>
    <t>Lecture 56</t>
  </si>
  <si>
    <t>Lecture 57</t>
  </si>
  <si>
    <t>Lecture 58</t>
  </si>
  <si>
    <t>Lecture 59</t>
  </si>
  <si>
    <t>Lecture 60</t>
  </si>
  <si>
    <t>Opening a Meeting</t>
  </si>
  <si>
    <t>Participating in a Meeting</t>
  </si>
  <si>
    <t>Agreeing and Disagreeing</t>
  </si>
  <si>
    <t>Closing a Meeting</t>
  </si>
  <si>
    <t>Review 1</t>
  </si>
  <si>
    <t>Virtual Presentations</t>
  </si>
  <si>
    <t>Confident Openings</t>
  </si>
  <si>
    <t>Delivering Key Ideas</t>
  </si>
  <si>
    <t>Presenting with Impact</t>
  </si>
  <si>
    <t>Review 2</t>
  </si>
  <si>
    <t>Handling Workplace Negotiations</t>
  </si>
  <si>
    <t>Negotiation Tactics in Action</t>
  </si>
  <si>
    <t>Managing Workplace Conflicts</t>
  </si>
  <si>
    <t>Conflict Resolution Strategies</t>
  </si>
  <si>
    <t>Review 3</t>
  </si>
  <si>
    <t>Making Requests and Offering Help</t>
  </si>
  <si>
    <t>Politeness in Professional Requests</t>
  </si>
  <si>
    <t>Explaining a Project Update</t>
  </si>
  <si>
    <t>Giving Concise Updates</t>
  </si>
  <si>
    <t>Writing Clear and Professional Emails</t>
  </si>
  <si>
    <t>Writing Weekly and Monthly Reports</t>
  </si>
  <si>
    <t>Writing Effective Requests &amp; Apologies</t>
  </si>
  <si>
    <t>Writing for Business Meetings</t>
  </si>
  <si>
    <t>Case Study: Workplace Communication</t>
  </si>
  <si>
    <t>Case Study: IT Project Brief</t>
  </si>
  <si>
    <t>Case Study: Cross-Cultural Meeting</t>
  </si>
  <si>
    <t>Case Study: Chairing a Meeting</t>
  </si>
  <si>
    <t>Case Study: Virtual Presentation</t>
  </si>
  <si>
    <t>Case Study: Negotiation</t>
  </si>
  <si>
    <t>Case Study: Delegating Tasks</t>
  </si>
  <si>
    <t>Case Study: Problem Solving in Teams</t>
  </si>
  <si>
    <t>Case Study: Difficult Conversations</t>
  </si>
  <si>
    <t>Case Study: Crisis Communication</t>
  </si>
  <si>
    <t>Case Study: Handling Customer Complaints</t>
  </si>
  <si>
    <t>Case Study: Sales Pitch</t>
  </si>
  <si>
    <t>Practice formal greetings, introductions, and networking.</t>
  </si>
  <si>
    <t>Apply networking skills in realistic business situations.</t>
  </si>
  <si>
    <t>Understand organizational structures and explain them.</t>
  </si>
  <si>
    <t>Develop fluency in explaining workplace structures.</t>
  </si>
  <si>
    <t>Review lessons 1–4</t>
  </si>
  <si>
    <t>Build confidence in discussing IT-related topics in English.</t>
  </si>
  <si>
    <t>Use IT-related English in professional communication.</t>
  </si>
  <si>
    <t>Develop awareness of cultural differences and communication styles.</t>
  </si>
  <si>
    <t>Apply cross-cultural communication skills in workplace settings.</t>
  </si>
  <si>
    <t>Review lessons 6–9</t>
  </si>
  <si>
    <t>Learn to delegate tasks and provide updates professionally.</t>
  </si>
  <si>
    <t>Improve efficiency in reporting task progress.</t>
  </si>
  <si>
    <t>Practice making business suggestions and decisions.</t>
  </si>
  <si>
    <t>Develop confidence in persuading and influencing others.</t>
  </si>
  <si>
    <t>Review lessons 11–14</t>
  </si>
  <si>
    <t>Explain product/service features and benefits effectively.</t>
  </si>
  <si>
    <t>Strengthen the ability to explain advantages persuasively.</t>
  </si>
  <si>
    <t>Learn to identify problems and propose solutions.</t>
  </si>
  <si>
    <t>Develop strategies to manage workplace challenges effectively.</t>
  </si>
  <si>
    <t>Consolidate learning from all lessons.</t>
  </si>
  <si>
    <t>Learn how to start a meeting professionally and introduce the agenda.</t>
  </si>
  <si>
    <t>Develop confidence in joining discussions and sharing ideas.</t>
  </si>
  <si>
    <t>Learn how to express agreement and disagreement professionally.</t>
  </si>
  <si>
    <t>Learn how to summarize key points and conclude a meeting effectively.</t>
  </si>
  <si>
    <t>Consolidate learning from previous lessons.</t>
  </si>
  <si>
    <t>Master opening a presentation in an online setting.</t>
  </si>
  <si>
    <t>Practice delivering strong and engaging openings.</t>
  </si>
  <si>
    <t>Improve clarity when presenting main points.</t>
  </si>
  <si>
    <t>Apply techniques to make presentations engaging.</t>
  </si>
  <si>
    <t>Learn strategies for negotiating effectively.</t>
  </si>
  <si>
    <t>Apply key negotiation techniques.</t>
  </si>
  <si>
    <t>Learn to address and resolve team conflicts.</t>
  </si>
  <si>
    <t>Practice handling challenging team situations.</t>
  </si>
  <si>
    <t>Learn how to make polite and professional requests.</t>
  </si>
  <si>
    <t>Practice structuring requests with the right tone.</t>
  </si>
  <si>
    <t>Learn to provide clear and structured project updates.</t>
  </si>
  <si>
    <t>Apply techniques for delivering effective updates.</t>
  </si>
  <si>
    <t>Reflect on progress and apply all skills learned.</t>
  </si>
  <si>
    <t>Learn how to structure professional emails using clear and concise language.</t>
  </si>
  <si>
    <t>Develop skills to write structured and concise progress reports.</t>
  </si>
  <si>
    <t>Improve the ability to write professional requests and apologies in business settings.</t>
  </si>
  <si>
    <t>Learn how to create clear meeting agendas and take effective meeting notes.</t>
  </si>
  <si>
    <t>Examine communication challenges in a cross-functional team.</t>
  </si>
  <si>
    <t>Practice explaining technical information to non-technical stakeholders.</t>
  </si>
  <si>
    <t>Explore challenges and solutions for cross-cultural meeting management.</t>
  </si>
  <si>
    <t>Master techniques for effective meeting management.</t>
  </si>
  <si>
    <t>Improve virtual presentation skills for engaging audiences.</t>
  </si>
  <si>
    <t>Apply strategies to reach a win-win outcome in business negotiations.</t>
  </si>
  <si>
    <t>Develop strategies to delegate and update tasks effectively.</t>
  </si>
  <si>
    <t>Analyze strategies for solving workplace issues collaboratively.</t>
  </si>
  <si>
    <t>Improve skills in handling tough workplace discussions.</t>
  </si>
  <si>
    <t>Learn to manage and communicate effectively during workplace crises.</t>
  </si>
  <si>
    <t>Develop skills to manage customer complaints professionally.</t>
  </si>
  <si>
    <t>Develop persuasive communication skills for sales presentations.</t>
  </si>
  <si>
    <t>Vocabulary: professional background, exchange,  engage in, impression Phrases: “Nice to meet you.” / “What brings you here today?” / “I work in [industry] as a [role].” / “Let me introduce myself.”</t>
  </si>
  <si>
    <t>Vocabulary: build rapport, establish professional connections, follow up, maintain a business relationship, initiate conversation, ask open-ended questions Phrases: “How do you know [mutual contact]?” / “It was great meeting you. Let’s stay in touch.” / “I’d love to hear more about your work.”</t>
  </si>
  <si>
    <t>Vocabulary: department, company hierarchy, direct report, chain of command, organizational structure, line manager Phrases: “Our company is structured into multiple departments.” / “I report to the [position].” / “This team is responsible for…”</t>
  </si>
  <si>
    <t>Vocabulary: head of, team leader, corporate division, subsidiary, reporting structure, company culture Phrases: “Our headquarters is located in…” / “The [team/department] handles…” / “We operate as a subsidiary of…”</t>
  </si>
  <si>
    <t>All previous vocabulary and phrases</t>
  </si>
  <si>
    <t>Vocabulary: software, hardware, troubleshoot, IT infrastructure, network security, system update Phrases: “The system needs to be updated.” / “We’re experiencing connectivity issues.” / “Have you tried restarting it?”</t>
  </si>
  <si>
    <t>Vocabulary: install, upgrade, technical issue, reboot, connectivity problem, escalate the issue Phrases: “Let me walk you through the steps.” / “This seems to be a configuration issue.” / “I’ll escalate this to the IT department.”</t>
  </si>
  <si>
    <t>Vocabulary: cultural norms, business etiquette, communication styles, direct vs. indirect approach, adapt to different cultures, avoid misinterpretation Phrases: “In some cultures, eye contact is seen as too direct.” / “It’s important to be mindful of cultural differences.” / “Let’s find a culturally appropriate approach.”</t>
  </si>
  <si>
    <t>Vocabulary: negotiation styles, body language, formality levels, international mindset, respect cultural differences, build cross-cultural trust Phrases: “Let’s clarify expectations to avoid misunderstandings.” / “Different cultures have different approaches to negotiations.”</t>
  </si>
  <si>
    <t>Vocabulary: assign tasks,delegate, take responsibility, provide a status update, meet deadlines, check progress, follow up 
Phrases: “I’ll take care of this task.” / “Could you update me on your progress?” Let me update you on…, Could you handle this task?, I’ll take care of…</t>
  </si>
  <si>
    <t>On track; behind schedule; update; pending; “I’ll follow up on this.” We’re making good progress; This task is still pending; Let’s push the deadline</t>
  </si>
  <si>
    <t>Vocabulary: propose a solution, recommend a course of action, weigh the pros and cons, finalize a decision, come to an agreement, implement changes Phrases: Why don’t we…, I suggest we…, Have you considered…? “I’d suggest considering…” / “We should weigh the pros and cons before deciding.”</t>
  </si>
  <si>
    <t>Vocabulary: convince, present a strong argument, influence a decision, gain buy-in, highlight benefits, handle objections Phrases: To be clear…, The key benefit is…, Here’s why this matters…“Let me explain why this is beneficial.” / “I understand your concerns, but…”</t>
  </si>
  <si>
    <t>Vocabulary: highlight key features, demonstrate value, competitive advantage, unique selling point, tailor to customer needs, emphasize benefits Phrases: “This product stands out because…” / “One key benefit is…” This allows you to…, The main advantage is…, You’ll benefit from…</t>
  </si>
  <si>
    <t xml:space="preserve">Vocab: Value, differentiation, competitive edge, ROI, selling point, compelling reason, 
Phrases: “This will help you by…” “A key advantage is…” Our product stands out because…, This will help you increase…, Compared to competitors, we…
</t>
  </si>
  <si>
    <t>Vocabulary: identify an issue, troubleshoot, suggest improvements, propose a solution, address concerns, prevent future problems 
Phrases: “The main challenge is…” / “We need to find a way to resolve this.” The root cause seems to be…, A possible solution could be…, Let’s work on a fix together</t>
  </si>
  <si>
    <t>Vocabulary: dispute resolution, clarify misunderstandings, escalate an issue, resolve a conflict, mediate between parties, find a compromise Phrases: “Let’s work together to resolve this.” / “I understand your concern. Let’s find a solution.” Let’s find common ground, I see your point, but…, How can we resolve this?</t>
  </si>
  <si>
    <t>All course vocabulary and phrases</t>
  </si>
  <si>
    <t>Kick off, outline, welcome, set objectives, go over, “Let’s get started.”, “The aim of today’s meeting is…”, “First, let’s go over…”Let’s get started…, The purpose of today’s meeting is…, Before we begin…</t>
  </si>
  <si>
    <t>Contribute, ask for clarification, build on, interrupt politely, summarize, “I’d like to add…”, “Could you clarify that?”, “That’s an interesting point…”, "Can I have a word here?" "May I jump in?" Could you clarify that?, I’d like to add something…, That’s a great point…</t>
  </si>
  <si>
    <t>Strongly agree, partially agree, see it differently, express doubt, support, “I completely agree.”, “I see your point, but…”, “I have a slightly different view…” I completely agree with you…, I see what you mean, but…, I’d like to offer a different perspective…</t>
  </si>
  <si>
    <t>Wrap up, review, highlight key points, confirm next steps, adjourn, “To summarize…”, “Before we close…”, “Let’s confirm our next steps.” To summarize…, Before we close, let’s review…, Our next steps will be…</t>
  </si>
  <si>
    <t>All key terms from Lessons 1-4</t>
  </si>
  <si>
    <t>Engage audience, introduce topic, outline, “Let’s get started.”, “Today, I’ll cover three main points…”, “Feel free to ask questions.” Can everyone see my screen?, Let’s begin by…, Feel free to ask questions in the chat…</t>
  </si>
  <si>
    <t>Hook, attention-grabber, “To start with…”, “Before I begin, let me ask…”, “Let’s dive right in.”</t>
  </si>
  <si>
    <t>Highlight, emphasize, illustrate, support, transition, “The main takeaway is…”, “Let’s look at an example…”</t>
  </si>
  <si>
    <t>Engage, summarize, conclude, interact, “To sum up…”, “Any questions?”, “Now, moving on to…”</t>
  </si>
  <si>
    <t>All key terms from Lessons 6-9</t>
  </si>
  <si>
    <t>Bargain, compromise, propose, deal, find common ground, “Let’s work towards a solution.”, “Would you be open to…?”, “That’s not quite what we had in mind.” We’d like to propose…, Would you consider…?, Let’s find a fair solution…</t>
  </si>
  <si>
    <t>Persuade, counteroffer, reach an agreement, leverage, “We’re willing to consider…”, “How about we meet halfway?”</t>
  </si>
  <si>
    <t>Disagree, escalate, mediate, resolve, compromise, “I understand your point.”, “How can we find a middle ground?”</t>
  </si>
  <si>
    <t>Active listening, acknowledge concerns, clarify, remain neutral, “Let’s take a step back.”, “What would be a fair solution?”</t>
  </si>
  <si>
    <t>All key terms from Lessons 11-14</t>
  </si>
  <si>
    <t>Could you…?, Would you mind…?, “Would it be possible to…?”, “Let me know if you need any help.” If it’s not too much trouble…, I’d really appreciate it if…, Let me know how I can help…</t>
  </si>
  <si>
    <t>Softening language, formal phrasing, “Would it be convenient if…?”, “I’d appreciate it if…”</t>
  </si>
  <si>
    <t>On track, behind schedule, milestone, deliverables, bottleneck, “Here’s the latest update…”</t>
  </si>
  <si>
    <t>Summarize, key points, outline progress, “The key issue is…”, “To keep it brief…”</t>
  </si>
  <si>
    <t>All vocabulary from course</t>
  </si>
  <si>
    <t xml:space="preserve"> -Openings: “I hope this email finds you well,” “I am writing to inform you…”
 -Requests: “Could you please…,” “Would it be possible to…”
 -Closings: “Looking forward to your reply,” “Please let me know if you have any questions.”</t>
  </si>
  <si>
    <t xml:space="preserve"> -Summarizing progress: “This week, we achieved…,” “Currently, we are working on…”
 -Reporting issues: “A challenge we faced was…,” “To address this, we…”
 -Outlining next steps: “Next, we plan to…,” “Our priority for the coming week is…”</t>
  </si>
  <si>
    <t xml:space="preserve"> -Making requests: “Would it be possible to…,” “I would appreciate it if you could…”
 -Apologizing: “I sincerely apologize for…,” “I regret any inconvenience caused…”
 -Offering solutions: “To resolve this, I will…,” “As a next step, I propose…”</t>
  </si>
  <si>
    <t xml:space="preserve"> -Agenda items: “Review of last meeting’s action items,” “Discussion on project deadlines.”
 -Meeting phrases: “The key takeaway is…,” “Action items assigned to…”
 -Summarizing: “To summarize, we agreed on…,” “The next steps include…”</t>
  </si>
  <si>
    <t>All previous vocabulary</t>
  </si>
  <si>
    <t>Feedback, clarity, escalation, misinterpretation, active listening, "Could you clarify?" "Just to confirm…"</t>
  </si>
  <si>
    <t>Technical, non-technical, clarity, jargon, layman's terms, "In simple terms…" "To put it another way…"</t>
  </si>
  <si>
    <t>Etiquette, diplomacy, culture, global mindset, misunderstanding, "From my cultural perspective…" "Let's find common ground."</t>
  </si>
  <si>
    <t>Agenda, moderation, timekeeping, structure, engagement, "Let’s move on to…" "Can we wrap this up?"</t>
  </si>
  <si>
    <t>Visuals, engagement, interaction, pacing, clarity, "Can everyone hear me?" "Let's keep this interactive."</t>
  </si>
  <si>
    <t>Persuasion, leverage, compromise, terms, closing a deal, "Let's find a middle ground." "Can we agree on…?"</t>
  </si>
  <si>
    <t>Delegation, priority, updates, responsibility, follow-up, "I’ll take care of…" "Can you handle this?"</t>
  </si>
  <si>
    <t>Problem-solving, collaboration, brainstorming, solutions, implementation, "What are our options?" "How can we resolve this?"</t>
  </si>
  <si>
    <t>Confrontation, resolution, tone, assertiveness, empathy, "I understand your concern." "Let's find a solution."</t>
  </si>
  <si>
    <t>Urgency, contingency, risk, reassurance, decision-making, "We need a backup plan." "Stay calm and focus on solutions."</t>
  </si>
  <si>
    <t>Dissatisfied, resolution, escalate, empathy, service recovery, "I apologize for the inconvenience." "Let me see how I can help."</t>
  </si>
  <si>
    <t>Pitch, persuasion, customer needs, objection handling, closing a sale, "This product can help you by…" "What are your main concerns?"</t>
  </si>
  <si>
    <t>All course vocabulary</t>
  </si>
  <si>
    <t>EF2 Business English Communication 1-10</t>
  </si>
  <si>
    <t>EF2_1on10</t>
  </si>
  <si>
    <t>- Attendance 90%
- Have all 03 Module Finals and a minimum of 60% for each Module exam
- Cumulative Score 75% across all Modules to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</si>
</sst>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409]d\-mmm\-yyyy;@"/>
    <numFmt numFmtId="165" formatCode="[$-9]m\/d\/yyyy"/>
    <numFmt numFmtId="166" formatCode="dd/mm/yyyy"/>
    <numFmt numFmtId="167" formatCode="0.0"/>
  </numFmts>
  <fonts count="31">
    <font>
      <sz val="10"/>
      <color theme="1"/>
      <name val="Arial"/>
      <charset val="134"/>
    </font>
    <font>
      <sz val="10"/>
      <name val="Arial"/>
      <family val="2"/>
    </font>
    <font>
      <b/>
      <sz val="10"/>
      <name val="Arial"/>
      <family val="2"/>
    </font>
    <font>
      <sz val="10"/>
      <name val="Arial"/>
      <family val="2"/>
    </font>
    <font>
      <sz val="11"/>
      <color theme="1"/>
      <name val="Arial"/>
      <family val="2"/>
    </font>
    <font>
      <b/>
      <sz val="11"/>
      <color theme="1"/>
      <name val="Calibri"/>
      <family val="2"/>
      <scheme val="minor"/>
    </font>
    <font>
      <sz val="11"/>
      <color theme="1"/>
      <name val="Calibri"/>
      <family val="2"/>
      <scheme val="minor"/>
    </font>
    <font>
      <sz val="10"/>
      <color indexed="8"/>
      <name val="Arial"/>
      <family val="2"/>
    </font>
    <font>
      <b/>
      <sz val="10"/>
      <color indexed="8"/>
      <name val="Arial"/>
      <family val="2"/>
    </font>
    <font>
      <i/>
      <sz val="10"/>
      <name val="Aarial"/>
      <charset val="134"/>
    </font>
    <font>
      <sz val="10"/>
      <name val="Aarial"/>
      <charset val="134"/>
    </font>
    <font>
      <sz val="10"/>
      <name val="Franklin Gothic Book"/>
      <family val="2"/>
    </font>
    <font>
      <b/>
      <sz val="14"/>
      <name val="Arial"/>
      <family val="2"/>
    </font>
    <font>
      <b/>
      <sz val="10"/>
      <color theme="1"/>
      <name val="Arial"/>
      <family val="2"/>
    </font>
    <font>
      <sz val="10"/>
      <name val="Tahoma"/>
      <family val="2"/>
    </font>
    <font>
      <b/>
      <i/>
      <sz val="14"/>
      <color indexed="16"/>
      <name val="Arial"/>
      <family val="2"/>
    </font>
    <font>
      <sz val="11"/>
      <color theme="1"/>
      <name val="Arial"/>
      <family val="2"/>
    </font>
    <font>
      <i/>
      <sz val="14"/>
      <color indexed="16"/>
      <name val="Arial"/>
      <family val="2"/>
    </font>
    <font>
      <b/>
      <sz val="20"/>
      <color indexed="16"/>
      <name val="Arial"/>
      <family val="2"/>
    </font>
    <font>
      <b/>
      <sz val="10"/>
      <color indexed="16"/>
      <name val="Arial"/>
      <family val="2"/>
    </font>
    <font>
      <b/>
      <sz val="12"/>
      <name val="Tahoma"/>
      <family val="2"/>
    </font>
    <font>
      <sz val="11"/>
      <color indexed="8"/>
      <name val="Calibri"/>
      <family val="2"/>
    </font>
    <font>
      <sz val="9"/>
      <name val="Tahoma"/>
      <family val="2"/>
    </font>
    <font>
      <sz val="10"/>
      <color theme="1"/>
      <name val="Arial"/>
      <family val="2"/>
    </font>
    <font>
      <b/>
      <sz val="14"/>
      <color rgb="FFFF0000"/>
      <name val="Arial"/>
      <family val="2"/>
    </font>
    <font>
      <sz val="10"/>
      <name val="Arial"/>
      <family val="2"/>
    </font>
    <font>
      <i/>
      <sz val="10"/>
      <name val="Arial"/>
      <family val="2"/>
    </font>
    <font>
      <b/>
      <sz val="10"/>
      <name val="Arial"/>
      <family val="2"/>
    </font>
    <font>
      <sz val="10"/>
      <color rgb="FFFF0000"/>
      <name val="Arial"/>
      <family val="2"/>
    </font>
    <font>
      <b/>
      <i/>
      <sz val="10"/>
      <name val="Arial"/>
      <family val="2"/>
    </font>
    <font>
      <i/>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rgb="FFD9D9D9"/>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rgb="FFCCFFCC"/>
        <bgColor rgb="FFCCFFCC"/>
      </patternFill>
    </fill>
    <fill>
      <patternFill patternType="solid">
        <fgColor indexed="22"/>
        <bgColor indexed="64"/>
      </patternFill>
    </fill>
  </fills>
  <borders count="31">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s>
  <cellStyleXfs count="15">
    <xf numFmtId="0" fontId="0" fillId="0" borderId="0"/>
    <xf numFmtId="9"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23" fillId="0" borderId="0"/>
    <xf numFmtId="0" fontId="1" fillId="0" borderId="0"/>
    <xf numFmtId="0" fontId="1" fillId="0" borderId="0"/>
    <xf numFmtId="164" fontId="1" fillId="0" borderId="0"/>
    <xf numFmtId="9" fontId="21" fillId="0" borderId="0" applyFont="0" applyFill="0" applyBorder="0" applyAlignment="0" applyProtection="0"/>
    <xf numFmtId="9" fontId="21" fillId="0" borderId="0" applyFont="0" applyFill="0" applyBorder="0" applyAlignment="0" applyProtection="0"/>
  </cellStyleXfs>
  <cellXfs count="146">
    <xf numFmtId="0" fontId="0" fillId="0" borderId="0" xfId="0"/>
    <xf numFmtId="164" fontId="1" fillId="2" borderId="0" xfId="12" applyFill="1" applyAlignment="1">
      <alignment vertical="top" wrapText="1"/>
    </xf>
    <xf numFmtId="49" fontId="2" fillId="2" borderId="0" xfId="12" applyNumberFormat="1" applyFont="1" applyFill="1" applyAlignment="1">
      <alignment horizontal="center" vertical="top" wrapText="1"/>
    </xf>
    <xf numFmtId="0" fontId="2" fillId="2" borderId="0" xfId="0" applyFont="1" applyFill="1" applyAlignment="1">
      <alignment vertical="top"/>
    </xf>
    <xf numFmtId="0" fontId="1" fillId="2" borderId="0" xfId="0" applyFont="1" applyFill="1" applyAlignment="1">
      <alignment vertical="top" wrapText="1"/>
    </xf>
    <xf numFmtId="49" fontId="1" fillId="2" borderId="0" xfId="12" applyNumberFormat="1" applyFill="1" applyAlignment="1">
      <alignment vertical="top" wrapText="1"/>
    </xf>
    <xf numFmtId="15" fontId="1" fillId="2" borderId="0" xfId="0" applyNumberFormat="1" applyFont="1" applyFill="1" applyAlignment="1">
      <alignment vertical="top"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0" xfId="0" applyFont="1" applyFill="1" applyAlignment="1">
      <alignment horizontal="center" vertical="center" wrapText="1"/>
    </xf>
    <xf numFmtId="49" fontId="3" fillId="2" borderId="1" xfId="12" applyNumberFormat="1" applyFont="1" applyFill="1" applyBorder="1" applyAlignment="1">
      <alignment horizontal="center" vertical="top" wrapText="1"/>
    </xf>
    <xf numFmtId="165" fontId="4" fillId="0" borderId="0" xfId="0" applyNumberFormat="1" applyFont="1" applyAlignment="1">
      <alignment horizontal="left" vertical="top"/>
    </xf>
    <xf numFmtId="49" fontId="3"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0" xfId="0" applyFont="1" applyFill="1" applyAlignment="1">
      <alignment vertical="top" wrapText="1"/>
    </xf>
    <xf numFmtId="0" fontId="4" fillId="0" borderId="0" xfId="0" applyFont="1" applyAlignment="1">
      <alignment horizontal="left" vertical="top"/>
    </xf>
    <xf numFmtId="166" fontId="3" fillId="2" borderId="1" xfId="12" applyNumberFormat="1" applyFont="1" applyFill="1" applyBorder="1" applyAlignment="1">
      <alignment horizontal="left" vertical="top" wrapText="1"/>
    </xf>
    <xf numFmtId="164" fontId="1" fillId="2" borderId="0" xfId="12" applyFill="1" applyAlignment="1">
      <alignment horizontal="center" vertical="center" wrapText="1"/>
    </xf>
    <xf numFmtId="164" fontId="3" fillId="2" borderId="0" xfId="12" applyFont="1" applyFill="1" applyAlignment="1">
      <alignment vertical="top" wrapText="1"/>
    </xf>
    <xf numFmtId="0" fontId="5" fillId="4" borderId="0" xfId="0" applyFont="1" applyFill="1"/>
    <xf numFmtId="0" fontId="6" fillId="0" borderId="0" xfId="0" applyFont="1"/>
    <xf numFmtId="0" fontId="6" fillId="0" borderId="0" xfId="5"/>
    <xf numFmtId="9" fontId="7" fillId="0" borderId="0" xfId="1" applyFont="1"/>
    <xf numFmtId="0" fontId="7" fillId="5" borderId="0" xfId="0" applyFont="1" applyFill="1" applyAlignment="1">
      <alignment vertical="center"/>
    </xf>
    <xf numFmtId="0" fontId="7" fillId="5" borderId="0" xfId="0" applyFont="1" applyFill="1"/>
    <xf numFmtId="0" fontId="2" fillId="5" borderId="1" xfId="0" applyFont="1" applyFill="1" applyBorder="1" applyAlignment="1">
      <alignment horizontal="center" vertical="center" wrapText="1"/>
    </xf>
    <xf numFmtId="15" fontId="8" fillId="5" borderId="1" xfId="0" applyNumberFormat="1" applyFont="1" applyFill="1" applyBorder="1" applyAlignment="1">
      <alignment vertical="top" wrapText="1"/>
    </xf>
    <xf numFmtId="0" fontId="9" fillId="6" borderId="1" xfId="0" applyFont="1" applyFill="1" applyBorder="1" applyAlignment="1">
      <alignment vertical="center" wrapText="1"/>
    </xf>
    <xf numFmtId="0" fontId="10" fillId="6" borderId="1" xfId="0" applyFont="1" applyFill="1" applyBorder="1" applyAlignment="1">
      <alignment vertical="center" wrapText="1"/>
    </xf>
    <xf numFmtId="0" fontId="11" fillId="6" borderId="1" xfId="0" applyFont="1" applyFill="1" applyBorder="1" applyAlignment="1">
      <alignment horizontal="center" vertical="center" wrapText="1"/>
    </xf>
    <xf numFmtId="0" fontId="1" fillId="6" borderId="1" xfId="0" applyFont="1" applyFill="1" applyBorder="1" applyAlignment="1">
      <alignment vertical="top" wrapText="1"/>
    </xf>
    <xf numFmtId="0" fontId="8" fillId="5" borderId="1" xfId="0" applyFont="1" applyFill="1" applyBorder="1" applyAlignment="1">
      <alignment vertical="top" wrapText="1"/>
    </xf>
    <xf numFmtId="15" fontId="7" fillId="6" borderId="1" xfId="0" applyNumberFormat="1" applyFont="1" applyFill="1" applyBorder="1" applyAlignment="1">
      <alignment vertical="top" wrapText="1"/>
    </xf>
    <xf numFmtId="0" fontId="7" fillId="6" borderId="1" xfId="0" applyFont="1" applyFill="1" applyBorder="1" applyAlignment="1">
      <alignment vertical="top" wrapText="1"/>
    </xf>
    <xf numFmtId="0" fontId="1" fillId="5" borderId="0" xfId="5" applyFont="1" applyFill="1" applyAlignment="1">
      <alignment vertical="center"/>
    </xf>
    <xf numFmtId="0" fontId="1" fillId="5" borderId="0" xfId="5" applyFont="1" applyFill="1" applyAlignment="1">
      <alignment horizontal="center"/>
    </xf>
    <xf numFmtId="0" fontId="1" fillId="5" borderId="0" xfId="5" applyFont="1" applyFill="1" applyAlignment="1">
      <alignment horizontal="left"/>
    </xf>
    <xf numFmtId="0" fontId="1" fillId="5" borderId="0" xfId="5" applyFont="1" applyFill="1"/>
    <xf numFmtId="0" fontId="1" fillId="5" borderId="0" xfId="5" applyFont="1" applyFill="1" applyAlignment="1">
      <alignment horizontal="right"/>
    </xf>
    <xf numFmtId="0" fontId="2" fillId="5" borderId="2" xfId="0" applyFont="1" applyFill="1" applyBorder="1" applyAlignment="1">
      <alignment horizontal="center" vertical="center"/>
    </xf>
    <xf numFmtId="0" fontId="2" fillId="5" borderId="2" xfId="5"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2" xfId="5" applyFont="1" applyFill="1" applyBorder="1" applyAlignment="1">
      <alignment horizontal="center" vertical="center" wrapText="1"/>
    </xf>
    <xf numFmtId="0" fontId="1" fillId="6" borderId="2" xfId="0" applyFont="1" applyFill="1" applyBorder="1" applyAlignment="1">
      <alignment horizontal="center" vertical="top" wrapText="1"/>
    </xf>
    <xf numFmtId="0" fontId="1" fillId="6" borderId="2" xfId="0" applyFont="1" applyFill="1" applyBorder="1" applyAlignment="1">
      <alignment horizontal="left" vertical="top" wrapText="1"/>
    </xf>
    <xf numFmtId="0" fontId="1" fillId="6" borderId="2" xfId="0" applyFont="1" applyFill="1" applyBorder="1" applyAlignment="1">
      <alignment vertical="top"/>
    </xf>
    <xf numFmtId="2" fontId="1" fillId="6" borderId="2" xfId="5" applyNumberFormat="1" applyFont="1" applyFill="1" applyBorder="1" applyAlignment="1">
      <alignment horizontal="center" vertical="top"/>
    </xf>
    <xf numFmtId="0" fontId="2" fillId="5" borderId="2" xfId="5" applyFont="1" applyFill="1" applyBorder="1"/>
    <xf numFmtId="2" fontId="0" fillId="7" borderId="3" xfId="0" applyNumberFormat="1" applyFill="1" applyBorder="1" applyAlignment="1">
      <alignment horizontal="center"/>
    </xf>
    <xf numFmtId="167" fontId="13" fillId="7" borderId="3" xfId="0" applyNumberFormat="1" applyFont="1" applyFill="1" applyBorder="1" applyAlignment="1">
      <alignment horizontal="center"/>
    </xf>
    <xf numFmtId="0" fontId="1" fillId="0" borderId="2" xfId="6" applyFont="1" applyBorder="1" applyAlignment="1">
      <alignment vertical="top" wrapText="1"/>
    </xf>
    <xf numFmtId="2" fontId="1" fillId="5" borderId="2" xfId="5" applyNumberFormat="1" applyFont="1" applyFill="1" applyBorder="1" applyAlignment="1">
      <alignment horizontal="center"/>
    </xf>
    <xf numFmtId="9" fontId="1" fillId="5" borderId="2" xfId="1" applyFont="1" applyFill="1" applyBorder="1" applyAlignment="1">
      <alignment horizontal="left"/>
    </xf>
    <xf numFmtId="167" fontId="2" fillId="5" borderId="2" xfId="5" applyNumberFormat="1" applyFont="1" applyFill="1" applyBorder="1" applyAlignment="1">
      <alignment horizontal="center"/>
    </xf>
    <xf numFmtId="9" fontId="2" fillId="5" borderId="2" xfId="5" applyNumberFormat="1" applyFont="1" applyFill="1" applyBorder="1" applyAlignment="1">
      <alignment horizontal="left"/>
    </xf>
    <xf numFmtId="0" fontId="3" fillId="0" borderId="0" xfId="10" applyFont="1"/>
    <xf numFmtId="0" fontId="1" fillId="0" borderId="0" xfId="10"/>
    <xf numFmtId="0" fontId="6" fillId="2" borderId="19" xfId="7" applyFill="1" applyBorder="1"/>
    <xf numFmtId="0" fontId="6" fillId="2" borderId="20" xfId="7" applyFill="1" applyBorder="1"/>
    <xf numFmtId="0" fontId="14" fillId="2" borderId="21" xfId="11" applyFont="1" applyFill="1" applyBorder="1"/>
    <xf numFmtId="0" fontId="6" fillId="2" borderId="0" xfId="7" applyFill="1"/>
    <xf numFmtId="0" fontId="6" fillId="2" borderId="21" xfId="7" applyFill="1" applyBorder="1"/>
    <xf numFmtId="0" fontId="16" fillId="2" borderId="21" xfId="7" applyFont="1" applyFill="1" applyBorder="1"/>
    <xf numFmtId="0" fontId="16" fillId="2" borderId="0" xfId="7" applyFont="1" applyFill="1"/>
    <xf numFmtId="0" fontId="17" fillId="2" borderId="0" xfId="7" applyFont="1" applyFill="1" applyAlignment="1">
      <alignment horizontal="center"/>
    </xf>
    <xf numFmtId="0" fontId="6" fillId="2" borderId="27" xfId="7" applyFill="1" applyBorder="1"/>
    <xf numFmtId="0" fontId="6" fillId="2" borderId="28" xfId="7" applyFill="1" applyBorder="1"/>
    <xf numFmtId="0" fontId="6" fillId="2" borderId="25" xfId="7" applyFill="1" applyBorder="1"/>
    <xf numFmtId="0" fontId="6" fillId="2" borderId="29" xfId="7" applyFill="1" applyBorder="1"/>
    <xf numFmtId="0" fontId="20" fillId="2" borderId="0" xfId="7" applyFont="1" applyFill="1"/>
    <xf numFmtId="0" fontId="16" fillId="2" borderId="29" xfId="7" applyFont="1" applyFill="1" applyBorder="1"/>
    <xf numFmtId="0" fontId="6" fillId="2" borderId="22" xfId="7" applyFill="1" applyBorder="1"/>
    <xf numFmtId="0" fontId="0" fillId="0" borderId="2" xfId="0" quotePrefix="1" applyBorder="1" applyAlignment="1">
      <alignment vertical="top" wrapText="1"/>
    </xf>
    <xf numFmtId="49" fontId="3" fillId="2" borderId="1" xfId="0" quotePrefix="1" applyNumberFormat="1" applyFont="1" applyFill="1" applyBorder="1" applyAlignment="1">
      <alignment horizontal="center" vertical="top" wrapText="1"/>
    </xf>
    <xf numFmtId="0" fontId="3" fillId="2" borderId="1" xfId="0" quotePrefix="1" applyFont="1" applyFill="1" applyBorder="1" applyAlignment="1">
      <alignment horizontal="left" vertical="top" wrapText="1"/>
    </xf>
    <xf numFmtId="166" fontId="3" fillId="2" borderId="1" xfId="12" quotePrefix="1" applyNumberFormat="1" applyFont="1" applyFill="1" applyBorder="1" applyAlignment="1">
      <alignment horizontal="left" vertical="top" wrapText="1"/>
    </xf>
    <xf numFmtId="0" fontId="25" fillId="5" borderId="0" xfId="0" applyFont="1" applyFill="1" applyAlignment="1">
      <alignment vertical="center"/>
    </xf>
    <xf numFmtId="0" fontId="26" fillId="5" borderId="0" xfId="0" applyFont="1" applyFill="1" applyAlignment="1">
      <alignment vertical="center"/>
    </xf>
    <xf numFmtId="0" fontId="27" fillId="5" borderId="4" xfId="0" applyFont="1" applyFill="1" applyBorder="1" applyAlignment="1">
      <alignment horizontal="center" vertical="center" wrapText="1"/>
    </xf>
    <xf numFmtId="0" fontId="27" fillId="4" borderId="5"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1" xfId="0" applyFont="1" applyFill="1" applyBorder="1" applyAlignment="1">
      <alignment vertical="center" wrapText="1"/>
    </xf>
    <xf numFmtId="0" fontId="25" fillId="4" borderId="1" xfId="0" applyFont="1" applyFill="1" applyBorder="1" applyAlignment="1">
      <alignment vertical="center" wrapText="1"/>
    </xf>
    <xf numFmtId="0" fontId="25" fillId="5" borderId="0" xfId="0" applyFont="1" applyFill="1" applyAlignment="1">
      <alignment vertical="center" wrapText="1"/>
    </xf>
    <xf numFmtId="0" fontId="29" fillId="5" borderId="1" xfId="0" applyFont="1" applyFill="1" applyBorder="1" applyAlignment="1">
      <alignment vertical="center" wrapText="1"/>
    </xf>
    <xf numFmtId="9" fontId="25" fillId="5" borderId="1" xfId="0" applyNumberFormat="1" applyFont="1" applyFill="1" applyBorder="1" applyAlignment="1">
      <alignment horizontal="center" vertical="center" wrapText="1"/>
    </xf>
    <xf numFmtId="0" fontId="26" fillId="6" borderId="1" xfId="0" applyFont="1" applyFill="1" applyBorder="1" applyAlignment="1">
      <alignment vertical="center" wrapText="1"/>
    </xf>
    <xf numFmtId="0" fontId="29" fillId="4" borderId="1" xfId="0" applyFont="1" applyFill="1" applyBorder="1" applyAlignment="1">
      <alignment vertical="center" wrapText="1"/>
    </xf>
    <xf numFmtId="0" fontId="29" fillId="5" borderId="18" xfId="0" applyFont="1" applyFill="1" applyBorder="1" applyAlignment="1">
      <alignment vertical="center" wrapText="1"/>
    </xf>
    <xf numFmtId="0" fontId="19" fillId="8" borderId="25" xfId="7" applyFont="1" applyFill="1" applyBorder="1" applyAlignment="1">
      <alignment horizontal="left" vertical="center"/>
    </xf>
    <xf numFmtId="0" fontId="19" fillId="8" borderId="26" xfId="7" applyFont="1" applyFill="1" applyBorder="1" applyAlignment="1">
      <alignment horizontal="left" vertical="center"/>
    </xf>
    <xf numFmtId="164" fontId="2" fillId="8" borderId="26" xfId="7" quotePrefix="1" applyNumberFormat="1" applyFont="1" applyFill="1" applyBorder="1" applyAlignment="1">
      <alignment horizontal="center" vertical="center"/>
    </xf>
    <xf numFmtId="164" fontId="2" fillId="8" borderId="26" xfId="7" applyNumberFormat="1" applyFont="1" applyFill="1" applyBorder="1" applyAlignment="1">
      <alignment horizontal="center" vertical="center"/>
    </xf>
    <xf numFmtId="164" fontId="2" fillId="8" borderId="19" xfId="7" applyNumberFormat="1" applyFont="1" applyFill="1" applyBorder="1" applyAlignment="1">
      <alignment horizontal="center" vertical="center"/>
    </xf>
    <xf numFmtId="0" fontId="15" fillId="2" borderId="21" xfId="7" applyFont="1" applyFill="1" applyBorder="1" applyAlignment="1">
      <alignment horizontal="center"/>
    </xf>
    <xf numFmtId="0" fontId="15" fillId="2" borderId="0" xfId="7" applyFont="1" applyFill="1" applyAlignment="1">
      <alignment horizontal="center"/>
    </xf>
    <xf numFmtId="0" fontId="15" fillId="2" borderId="29" xfId="7" applyFont="1" applyFill="1" applyBorder="1" applyAlignment="1">
      <alignment horizontal="center"/>
    </xf>
    <xf numFmtId="0" fontId="18" fillId="2" borderId="21" xfId="7" applyFont="1" applyFill="1" applyBorder="1" applyAlignment="1">
      <alignment horizontal="center"/>
    </xf>
    <xf numFmtId="0" fontId="18" fillId="2" borderId="0" xfId="7" applyFont="1" applyFill="1" applyAlignment="1">
      <alignment horizontal="center"/>
    </xf>
    <xf numFmtId="0" fontId="18" fillId="2" borderId="29" xfId="7" applyFont="1" applyFill="1" applyBorder="1" applyAlignment="1">
      <alignment horizontal="center"/>
    </xf>
    <xf numFmtId="0" fontId="19" fillId="8" borderId="22" xfId="7" applyFont="1" applyFill="1" applyBorder="1" applyAlignment="1">
      <alignment horizontal="left" vertical="center"/>
    </xf>
    <xf numFmtId="0" fontId="19" fillId="8" borderId="23" xfId="7" applyFont="1" applyFill="1" applyBorder="1" applyAlignment="1">
      <alignment horizontal="left" vertical="center"/>
    </xf>
    <xf numFmtId="0" fontId="2" fillId="8" borderId="23" xfId="7" applyFont="1" applyFill="1" applyBorder="1" applyAlignment="1">
      <alignment horizontal="center" vertical="center"/>
    </xf>
    <xf numFmtId="0" fontId="2" fillId="8" borderId="27" xfId="7" applyFont="1" applyFill="1" applyBorder="1" applyAlignment="1">
      <alignment horizontal="center" vertical="center"/>
    </xf>
    <xf numFmtId="0" fontId="19" fillId="8" borderId="24" xfId="7" applyFont="1" applyFill="1" applyBorder="1" applyAlignment="1">
      <alignment horizontal="left" vertical="center"/>
    </xf>
    <xf numFmtId="0" fontId="19" fillId="8" borderId="2" xfId="7" applyFont="1" applyFill="1" applyBorder="1" applyAlignment="1">
      <alignment horizontal="left" vertical="center"/>
    </xf>
    <xf numFmtId="49" fontId="2" fillId="8" borderId="2" xfId="7" applyNumberFormat="1" applyFont="1" applyFill="1" applyBorder="1" applyAlignment="1">
      <alignment horizontal="center" vertical="center"/>
    </xf>
    <xf numFmtId="49" fontId="2" fillId="8" borderId="30" xfId="7" applyNumberFormat="1" applyFont="1" applyFill="1" applyBorder="1" applyAlignment="1">
      <alignment horizontal="center" vertical="center"/>
    </xf>
    <xf numFmtId="0" fontId="24" fillId="5" borderId="0" xfId="0" applyFont="1" applyFill="1" applyAlignment="1">
      <alignment horizontal="center" vertical="center"/>
    </xf>
    <xf numFmtId="0" fontId="26" fillId="6" borderId="5" xfId="0" applyFont="1" applyFill="1" applyBorder="1" applyAlignment="1">
      <alignment vertical="center" wrapText="1"/>
    </xf>
    <xf numFmtId="0" fontId="25" fillId="6" borderId="5" xfId="0" applyFont="1" applyFill="1" applyBorder="1" applyAlignment="1">
      <alignment vertical="center" wrapText="1"/>
    </xf>
    <xf numFmtId="0" fontId="26" fillId="6" borderId="1" xfId="0" applyFont="1" applyFill="1" applyBorder="1" applyAlignment="1">
      <alignment vertical="center" wrapText="1"/>
    </xf>
    <xf numFmtId="0" fontId="25" fillId="6" borderId="1" xfId="0" applyFont="1" applyFill="1" applyBorder="1" applyAlignment="1">
      <alignment vertical="center" wrapText="1"/>
    </xf>
    <xf numFmtId="0" fontId="26" fillId="6" borderId="1"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8" fillId="6" borderId="7"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5" fillId="6" borderId="1" xfId="0" quotePrefix="1" applyFont="1" applyFill="1" applyBorder="1" applyAlignment="1">
      <alignment horizontal="left" vertical="center" wrapText="1"/>
    </xf>
    <xf numFmtId="0" fontId="26" fillId="6" borderId="1" xfId="0" applyFont="1" applyFill="1" applyBorder="1" applyAlignment="1">
      <alignment vertical="center"/>
    </xf>
    <xf numFmtId="0" fontId="25" fillId="6" borderId="1" xfId="0" applyFont="1" applyFill="1" applyBorder="1" applyAlignment="1">
      <alignment vertical="center"/>
    </xf>
    <xf numFmtId="0" fontId="26" fillId="6" borderId="7" xfId="0" quotePrefix="1" applyFont="1" applyFill="1" applyBorder="1" applyAlignment="1">
      <alignment vertical="center" wrapText="1"/>
    </xf>
    <xf numFmtId="0" fontId="26" fillId="6" borderId="8" xfId="0" applyFont="1" applyFill="1" applyBorder="1" applyAlignment="1">
      <alignment vertical="center" wrapText="1"/>
    </xf>
    <xf numFmtId="0" fontId="30" fillId="6" borderId="1" xfId="0" applyFont="1" applyFill="1" applyBorder="1" applyAlignment="1">
      <alignment vertical="center" wrapText="1"/>
    </xf>
    <xf numFmtId="0" fontId="28" fillId="6" borderId="1" xfId="0" applyFont="1" applyFill="1" applyBorder="1" applyAlignment="1">
      <alignment vertical="center" wrapText="1"/>
    </xf>
    <xf numFmtId="0" fontId="26" fillId="6" borderId="18" xfId="0" applyFont="1" applyFill="1" applyBorder="1" applyAlignment="1">
      <alignment vertical="center" wrapText="1"/>
    </xf>
    <xf numFmtId="0" fontId="25" fillId="6" borderId="18"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5" borderId="1" xfId="0" applyFont="1" applyFill="1" applyBorder="1" applyAlignment="1">
      <alignment vertical="center" wrapText="1"/>
    </xf>
    <xf numFmtId="0" fontId="27" fillId="5" borderId="1" xfId="0" applyFont="1" applyFill="1" applyBorder="1" applyAlignment="1">
      <alignment horizontal="left" vertical="center" wrapText="1"/>
    </xf>
    <xf numFmtId="0" fontId="27" fillId="5" borderId="18" xfId="0" applyFont="1" applyFill="1" applyBorder="1" applyAlignment="1">
      <alignment horizontal="left" vertical="center" wrapText="1"/>
    </xf>
    <xf numFmtId="0" fontId="29" fillId="5" borderId="1" xfId="0" applyFont="1" applyFill="1" applyBorder="1" applyAlignment="1">
      <alignment vertical="center" wrapText="1"/>
    </xf>
    <xf numFmtId="0" fontId="29" fillId="6" borderId="9" xfId="0" applyFont="1" applyFill="1" applyBorder="1" applyAlignment="1">
      <alignment horizontal="left" vertical="center" wrapText="1"/>
    </xf>
    <xf numFmtId="0" fontId="29" fillId="6" borderId="10" xfId="0" applyFont="1" applyFill="1" applyBorder="1" applyAlignment="1">
      <alignment horizontal="left" vertical="center" wrapText="1"/>
    </xf>
    <xf numFmtId="0" fontId="29" fillId="6" borderId="11" xfId="0" applyFont="1" applyFill="1" applyBorder="1" applyAlignment="1">
      <alignment horizontal="left" vertical="center" wrapText="1"/>
    </xf>
    <xf numFmtId="0" fontId="29" fillId="6" borderId="12"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3" xfId="0" applyFont="1" applyFill="1" applyBorder="1" applyAlignment="1">
      <alignment horizontal="left" vertical="center" wrapText="1"/>
    </xf>
    <xf numFmtId="0" fontId="29" fillId="6" borderId="14" xfId="0" applyFont="1" applyFill="1" applyBorder="1" applyAlignment="1">
      <alignment horizontal="left" vertical="center" wrapText="1"/>
    </xf>
    <xf numFmtId="0" fontId="29" fillId="6" borderId="15" xfId="0" applyFont="1" applyFill="1" applyBorder="1" applyAlignment="1">
      <alignment horizontal="left" vertical="center" wrapText="1"/>
    </xf>
    <xf numFmtId="0" fontId="29" fillId="6" borderId="16"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8" xfId="0" applyFont="1" applyFill="1" applyBorder="1" applyAlignment="1">
      <alignment horizontal="left" vertical="center" wrapText="1"/>
    </xf>
    <xf numFmtId="0" fontId="12" fillId="5" borderId="0" xfId="5" applyFont="1" applyFill="1" applyAlignment="1">
      <alignment horizontal="center" vertical="center"/>
    </xf>
    <xf numFmtId="0" fontId="8" fillId="5" borderId="0" xfId="0" applyFont="1" applyFill="1" applyAlignment="1">
      <alignment horizontal="left" vertical="center"/>
    </xf>
  </cellXfs>
  <cellStyles count="15">
    <cellStyle name="Comma 2" xfId="2"/>
    <cellStyle name="Comma 2 2" xfId="3"/>
    <cellStyle name="Comma 3" xfId="4"/>
    <cellStyle name="Normal" xfId="0" builtinId="0"/>
    <cellStyle name="Normal 2" xfId="5"/>
    <cellStyle name="Normal 2 2" xfId="6"/>
    <cellStyle name="Normal 2 3" xfId="7"/>
    <cellStyle name="Normal 2 3 2" xfId="8"/>
    <cellStyle name="Normal 3" xfId="9"/>
    <cellStyle name="Normal 4" xfId="10"/>
    <cellStyle name="Normal_Guideline_Process tailoring" xfId="11"/>
    <cellStyle name="Normal_Template_IP Database" xfId="12"/>
    <cellStyle name="Percent" xfId="1" builtinId="5"/>
    <cellStyle name="Percent 2" xfId="13"/>
    <cellStyle name="Percent 3" xfId="1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400050</xdr:colOff>
      <xdr:row>0</xdr:row>
      <xdr:rowOff>0</xdr:rowOff>
    </xdr:from>
    <xdr:to>
      <xdr:col>10</xdr:col>
      <xdr:colOff>466725</xdr:colOff>
      <xdr:row>8</xdr:row>
      <xdr:rowOff>38100</xdr:rowOff>
    </xdr:to>
    <xdr:pic>
      <xdr:nvPicPr>
        <xdr:cNvPr id="16499" name="Picture 1">
          <a:extLst>
            <a:ext uri="{FF2B5EF4-FFF2-40B4-BE49-F238E27FC236}">
              <a16:creationId xmlns:a16="http://schemas.microsoft.com/office/drawing/2014/main" id="{00000000-0008-0000-0000-000073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083560" y="0"/>
          <a:ext cx="3159125" cy="151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iPK1" refreshedDate="45693.667812500003" createdVersion="5" refreshedVersion="5" minRefreshableVersion="3" recordCount="143">
  <cacheSource type="worksheet">
    <worksheetSource ref="A1:B144" sheet="Map Supplier"/>
  </cacheSource>
  <cacheFields count="2">
    <cacheField name="Supplier" numFmtId="0">
      <sharedItems count="143">
        <s v="(cá nhân) Trương Lê Na"/>
        <s v="AEC"/>
        <s v="AEC Academy"/>
        <s v="BLA"/>
        <s v="Cambly"/>
        <s v="ChauNTN2"/>
        <s v="Cô Trần Mỹ Quỳnh"/>
        <s v="Công Ty TNHH Tiếng Đức TP. Hồ Chí Minh"/>
        <s v="Đại học Ngoại ngữ Đà Nẵng"/>
        <s v="Đào Thanh Nga (NgaDT56)"/>
        <s v="ĐHNN Đà Nẵng"/>
        <s v="Đỗ Phương Quỳnh"/>
        <s v="ĐÔNG DU"/>
        <s v="Đông Du &amp; FJP.LDI"/>
        <s v="Đông Du HCM"/>
        <s v="Đông Du HN"/>
        <s v="Đông Du Partner"/>
        <s v="Dung Mori"/>
        <s v="Dũng Mori"/>
        <s v="Dung Mori Partner"/>
        <s v="DUNGMORI"/>
        <s v="DungMori Partner"/>
        <s v="EIV"/>
        <s v="EIV and Elsa Speak"/>
        <s v="EIY"/>
        <s v="EIY Lan Anh Nguyễn"/>
        <s v="ELSA"/>
        <s v="ELSA &amp; Talkin English"/>
        <s v="ELSA Premium"/>
        <s v="Equest"/>
        <s v="EQuest and Elsa Speak"/>
        <s v="EQuest Đôn Thư"/>
        <s v="Equest, ELSA"/>
        <s v="Equest, ELSA Speak"/>
        <s v="FCT"/>
        <s v="FGC"/>
        <s v="FIC ASAHI"/>
        <s v="FJP.LDI"/>
        <s v="Fsoft"/>
        <s v="FSOFT - FGC.MTL"/>
        <s v="FSOFT (FGC)"/>
        <s v="FSOFT (Internal Trainer)"/>
        <s v="FSOFT (LLTI)"/>
        <s v="FSOFT (LTI)"/>
        <s v="FSOFT LTI"/>
        <s v="FSOFT(FCT)"/>
        <s v="FSOFT(LTI)"/>
        <s v="Fsofter"/>
        <s v="Giảng viên Lương Văn Tuyển"/>
        <s v="Giảng viên nội bộ - LTI"/>
        <s v="Giảng viên nội bộ FSOFT"/>
        <s v="Giáo viên nội bộ FGC"/>
        <s v="GLOBISH"/>
        <s v="Globish, ELSA, KTDC"/>
        <s v="Globish, KTDC, ELSA Speak"/>
        <s v="HauTH9"/>
        <s v="HienHNM - LTI.TA"/>
        <s v="HieuLN12 - Le Ngoc Hieu"/>
        <s v="HIRAI"/>
        <s v="Hiromichi Yamamoto"/>
        <s v="Hoc1on1"/>
        <s v="IIG"/>
        <s v="IIG Academy"/>
        <s v="IIG, ELSA"/>
        <s v="Impactus"/>
        <s v="KhanhNTM, ThuyNT115"/>
        <s v="Khoa Tiếng Đức - Trường ĐHKH XH &amp; NV"/>
        <s v="KOKORO"/>
        <s v="Komaki"/>
        <s v="KTDC"/>
        <s v="KTDC and ELSA Speak"/>
        <s v="KTDC Business/ ELSA &amp; Globish"/>
        <s v="KTDC, Globish, ELSA Speak"/>
        <s v="Language Link"/>
        <s v="Language Training Institute (LTI)"/>
        <s v="LeDTN6"/>
        <s v="LinhDTT14 - FGC.COM"/>
        <s v="LinhDTT14 - LTI.TA"/>
        <s v="LinhNT115, AnhLT132"/>
        <s v="LTI"/>
        <s v="LTI TA"/>
        <s v="LTI.TA"/>
        <s v="LTI.TO"/>
        <s v="Lương Văn Tuyển"/>
        <s v="Mika Mizuyama"/>
        <s v="Mizuyama"/>
        <s v="Mr. Lưu Vũ Quốc Gia"/>
        <s v="Multicampus"/>
        <s v="MyTTK1"/>
        <s v="New Windows - Cô Lê Thị Diệu Hiền"/>
        <s v="NewWindows_Cần Thơ"/>
        <s v="NganNTV1 - FGC KR"/>
        <s v="NgocCTM - LTI.TA"/>
        <s v="NgocPTH - LTI.TO"/>
        <s v="Nguyễn Thị Huyền -Midori"/>
        <s v="Nguyễn Văn Lập (External)"/>
        <s v="NhanHX"/>
        <s v="NhanNTM3"/>
        <s v="NONE"/>
        <s v="NyLNA"/>
        <s v="Optimus"/>
        <s v="Optimus and Elsa"/>
        <s v="Optimus and ELSA Speak"/>
        <s v="PhuongNT1354"/>
        <s v="PhuongNT1354 - FSG TSS"/>
        <s v="QuocTV2; DaiNTT5; VyVNK"/>
        <s v="QuynhHN6 - FGC KN"/>
        <s v="RIKI"/>
        <s v="Riki Nihongo"/>
        <s v="RIKI Nihongo _ FSOFT (LTI)"/>
        <s v="RIKI Partner &amp; FSOFT (FGC)"/>
        <s v="Riki Trainer"/>
        <s v="RIKI/DUNG MORI"/>
        <s v="RIKI/DŨNG MORI"/>
        <s v="SAKURA"/>
        <s v="SangNH23"/>
        <s v="Seiki Kaori"/>
        <s v="Seki Kaori"/>
        <s v="SOFL"/>
        <s v="Takashi Tamamura"/>
        <s v="TamTLM NhanHX"/>
        <s v="THANHBTL"/>
        <s v="ThanhMaiHSK"/>
        <s v="ThaoND25"/>
        <s v="thầy Phạm Minh Hưng"/>
        <s v="ThienLP2"/>
        <s v="ThienPL2"/>
        <s v="ThuyDTN3"/>
        <s v="ThuyNM4"/>
        <s v="TienNTH - LTI.TA"/>
        <s v="Trần Đức Hải Triều"/>
        <s v="Trần Mỹ Quỳnh"/>
        <s v="TrangDT32"/>
        <s v="TrieuTDH"/>
        <s v="trung tâm Multicampus"/>
        <s v="Vendor NewWindows"/>
        <s v="VitaminK"/>
        <s v="VMP"/>
        <s v="Vòng Ngọc Yến"/>
        <s v="Yamamoto Mai"/>
        <s v="YenBH - FGC MTL"/>
        <s v="Riki Self-Learning"/>
        <s v="DUNGMORI Self-Learning"/>
      </sharedItems>
    </cacheField>
    <cacheField name="Map Supplier" numFmtId="0">
      <sharedItems count="51">
        <s v="(cá nhân) Trương Lê Na"/>
        <s v="AEC"/>
        <s v="BLA"/>
        <s v="Cambly"/>
        <s v="FSOFT"/>
        <s v="Cô Trần Mỹ Quỳnh"/>
        <s v="Công Ty TNHH Tiếng Đức TP. Hồ Chí Minh"/>
        <s v="ĐH"/>
        <s v="Đỗ Phương Quỳnh"/>
        <s v="ĐÔNG DU"/>
        <s v="DUNGMORI"/>
        <s v="EIV"/>
        <s v="EIY"/>
        <s v="ELSA"/>
        <s v="Equest"/>
        <s v="FCT"/>
        <s v="FIC ASAHI"/>
        <s v="FJP"/>
        <s v="Giảng viên Lương Văn Tuyển"/>
        <s v="LTI.TA"/>
        <s v="GLOBISH"/>
        <s v="Globish, ELSA, KTDC"/>
        <s v="Hoc1on1"/>
        <s v="IIG"/>
        <s v="Impactus"/>
        <s v="KOKORO"/>
        <s v="KTDC"/>
        <s v="KTDC and ELSA Speak"/>
        <s v="Language Link"/>
        <s v="LTI.TO"/>
        <s v="Lương Văn Tuyển"/>
        <s v="Mr. Lưu Vũ Quốc Gia"/>
        <s v="Multicampus"/>
        <s v="NewWindows"/>
        <s v="Midori"/>
        <s v="Nguyễn Văn Lập"/>
        <s v="NONE"/>
        <s v="Optimus"/>
        <s v="Optimus and Elsa"/>
        <s v="RIKI"/>
        <s v="RIKI Nihongo _ FSOFT (LTI)"/>
        <s v="RIKI Partner &amp; FSOFT (FGC)"/>
        <s v="RIKI/DUNG MORI"/>
        <s v="SAKURA"/>
        <s v="SOFL"/>
        <s v="ThanhMaiHSK"/>
        <s v="thầy Phạm Minh Hưng"/>
        <s v="Trần Mỹ Quỳnh"/>
        <s v="VitaminK"/>
        <s v="VMP"/>
        <s v="Vòng Ngọc Yế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3">
  <r>
    <x v="0"/>
    <x v="0"/>
  </r>
  <r>
    <x v="1"/>
    <x v="1"/>
  </r>
  <r>
    <x v="2"/>
    <x v="1"/>
  </r>
  <r>
    <x v="3"/>
    <x v="2"/>
  </r>
  <r>
    <x v="4"/>
    <x v="3"/>
  </r>
  <r>
    <x v="5"/>
    <x v="4"/>
  </r>
  <r>
    <x v="6"/>
    <x v="5"/>
  </r>
  <r>
    <x v="7"/>
    <x v="6"/>
  </r>
  <r>
    <x v="8"/>
    <x v="7"/>
  </r>
  <r>
    <x v="9"/>
    <x v="4"/>
  </r>
  <r>
    <x v="10"/>
    <x v="7"/>
  </r>
  <r>
    <x v="11"/>
    <x v="8"/>
  </r>
  <r>
    <x v="12"/>
    <x v="9"/>
  </r>
  <r>
    <x v="13"/>
    <x v="9"/>
  </r>
  <r>
    <x v="14"/>
    <x v="9"/>
  </r>
  <r>
    <x v="15"/>
    <x v="9"/>
  </r>
  <r>
    <x v="16"/>
    <x v="9"/>
  </r>
  <r>
    <x v="17"/>
    <x v="10"/>
  </r>
  <r>
    <x v="18"/>
    <x v="10"/>
  </r>
  <r>
    <x v="19"/>
    <x v="10"/>
  </r>
  <r>
    <x v="20"/>
    <x v="10"/>
  </r>
  <r>
    <x v="21"/>
    <x v="10"/>
  </r>
  <r>
    <x v="22"/>
    <x v="11"/>
  </r>
  <r>
    <x v="23"/>
    <x v="11"/>
  </r>
  <r>
    <x v="24"/>
    <x v="12"/>
  </r>
  <r>
    <x v="25"/>
    <x v="12"/>
  </r>
  <r>
    <x v="26"/>
    <x v="13"/>
  </r>
  <r>
    <x v="27"/>
    <x v="13"/>
  </r>
  <r>
    <x v="28"/>
    <x v="13"/>
  </r>
  <r>
    <x v="29"/>
    <x v="14"/>
  </r>
  <r>
    <x v="30"/>
    <x v="14"/>
  </r>
  <r>
    <x v="31"/>
    <x v="14"/>
  </r>
  <r>
    <x v="32"/>
    <x v="14"/>
  </r>
  <r>
    <x v="33"/>
    <x v="14"/>
  </r>
  <r>
    <x v="34"/>
    <x v="15"/>
  </r>
  <r>
    <x v="35"/>
    <x v="4"/>
  </r>
  <r>
    <x v="36"/>
    <x v="16"/>
  </r>
  <r>
    <x v="37"/>
    <x v="17"/>
  </r>
  <r>
    <x v="38"/>
    <x v="4"/>
  </r>
  <r>
    <x v="39"/>
    <x v="4"/>
  </r>
  <r>
    <x v="40"/>
    <x v="4"/>
  </r>
  <r>
    <x v="41"/>
    <x v="4"/>
  </r>
  <r>
    <x v="42"/>
    <x v="4"/>
  </r>
  <r>
    <x v="43"/>
    <x v="4"/>
  </r>
  <r>
    <x v="44"/>
    <x v="4"/>
  </r>
  <r>
    <x v="45"/>
    <x v="4"/>
  </r>
  <r>
    <x v="46"/>
    <x v="4"/>
  </r>
  <r>
    <x v="47"/>
    <x v="4"/>
  </r>
  <r>
    <x v="48"/>
    <x v="18"/>
  </r>
  <r>
    <x v="49"/>
    <x v="19"/>
  </r>
  <r>
    <x v="50"/>
    <x v="4"/>
  </r>
  <r>
    <x v="51"/>
    <x v="4"/>
  </r>
  <r>
    <x v="52"/>
    <x v="20"/>
  </r>
  <r>
    <x v="53"/>
    <x v="21"/>
  </r>
  <r>
    <x v="54"/>
    <x v="21"/>
  </r>
  <r>
    <x v="55"/>
    <x v="4"/>
  </r>
  <r>
    <x v="56"/>
    <x v="19"/>
  </r>
  <r>
    <x v="57"/>
    <x v="4"/>
  </r>
  <r>
    <x v="58"/>
    <x v="19"/>
  </r>
  <r>
    <x v="59"/>
    <x v="19"/>
  </r>
  <r>
    <x v="60"/>
    <x v="22"/>
  </r>
  <r>
    <x v="61"/>
    <x v="23"/>
  </r>
  <r>
    <x v="62"/>
    <x v="23"/>
  </r>
  <r>
    <x v="63"/>
    <x v="23"/>
  </r>
  <r>
    <x v="64"/>
    <x v="24"/>
  </r>
  <r>
    <x v="65"/>
    <x v="4"/>
  </r>
  <r>
    <x v="66"/>
    <x v="7"/>
  </r>
  <r>
    <x v="67"/>
    <x v="25"/>
  </r>
  <r>
    <x v="68"/>
    <x v="19"/>
  </r>
  <r>
    <x v="69"/>
    <x v="26"/>
  </r>
  <r>
    <x v="70"/>
    <x v="27"/>
  </r>
  <r>
    <x v="71"/>
    <x v="21"/>
  </r>
  <r>
    <x v="72"/>
    <x v="21"/>
  </r>
  <r>
    <x v="73"/>
    <x v="28"/>
  </r>
  <r>
    <x v="74"/>
    <x v="19"/>
  </r>
  <r>
    <x v="75"/>
    <x v="19"/>
  </r>
  <r>
    <x v="76"/>
    <x v="4"/>
  </r>
  <r>
    <x v="77"/>
    <x v="19"/>
  </r>
  <r>
    <x v="78"/>
    <x v="4"/>
  </r>
  <r>
    <x v="79"/>
    <x v="19"/>
  </r>
  <r>
    <x v="80"/>
    <x v="19"/>
  </r>
  <r>
    <x v="81"/>
    <x v="19"/>
  </r>
  <r>
    <x v="82"/>
    <x v="29"/>
  </r>
  <r>
    <x v="83"/>
    <x v="30"/>
  </r>
  <r>
    <x v="84"/>
    <x v="9"/>
  </r>
  <r>
    <x v="85"/>
    <x v="9"/>
  </r>
  <r>
    <x v="86"/>
    <x v="31"/>
  </r>
  <r>
    <x v="87"/>
    <x v="32"/>
  </r>
  <r>
    <x v="88"/>
    <x v="4"/>
  </r>
  <r>
    <x v="89"/>
    <x v="33"/>
  </r>
  <r>
    <x v="90"/>
    <x v="33"/>
  </r>
  <r>
    <x v="91"/>
    <x v="4"/>
  </r>
  <r>
    <x v="92"/>
    <x v="19"/>
  </r>
  <r>
    <x v="93"/>
    <x v="29"/>
  </r>
  <r>
    <x v="94"/>
    <x v="34"/>
  </r>
  <r>
    <x v="95"/>
    <x v="35"/>
  </r>
  <r>
    <x v="96"/>
    <x v="4"/>
  </r>
  <r>
    <x v="97"/>
    <x v="4"/>
  </r>
  <r>
    <x v="98"/>
    <x v="36"/>
  </r>
  <r>
    <x v="99"/>
    <x v="4"/>
  </r>
  <r>
    <x v="100"/>
    <x v="37"/>
  </r>
  <r>
    <x v="101"/>
    <x v="38"/>
  </r>
  <r>
    <x v="102"/>
    <x v="38"/>
  </r>
  <r>
    <x v="103"/>
    <x v="4"/>
  </r>
  <r>
    <x v="104"/>
    <x v="4"/>
  </r>
  <r>
    <x v="105"/>
    <x v="4"/>
  </r>
  <r>
    <x v="106"/>
    <x v="4"/>
  </r>
  <r>
    <x v="107"/>
    <x v="39"/>
  </r>
  <r>
    <x v="108"/>
    <x v="39"/>
  </r>
  <r>
    <x v="109"/>
    <x v="40"/>
  </r>
  <r>
    <x v="110"/>
    <x v="41"/>
  </r>
  <r>
    <x v="111"/>
    <x v="39"/>
  </r>
  <r>
    <x v="112"/>
    <x v="42"/>
  </r>
  <r>
    <x v="113"/>
    <x v="42"/>
  </r>
  <r>
    <x v="114"/>
    <x v="43"/>
  </r>
  <r>
    <x v="115"/>
    <x v="4"/>
  </r>
  <r>
    <x v="116"/>
    <x v="19"/>
  </r>
  <r>
    <x v="117"/>
    <x v="19"/>
  </r>
  <r>
    <x v="118"/>
    <x v="44"/>
  </r>
  <r>
    <x v="119"/>
    <x v="9"/>
  </r>
  <r>
    <x v="120"/>
    <x v="4"/>
  </r>
  <r>
    <x v="121"/>
    <x v="4"/>
  </r>
  <r>
    <x v="122"/>
    <x v="45"/>
  </r>
  <r>
    <x v="123"/>
    <x v="4"/>
  </r>
  <r>
    <x v="124"/>
    <x v="46"/>
  </r>
  <r>
    <x v="125"/>
    <x v="4"/>
  </r>
  <r>
    <x v="126"/>
    <x v="4"/>
  </r>
  <r>
    <x v="127"/>
    <x v="4"/>
  </r>
  <r>
    <x v="128"/>
    <x v="4"/>
  </r>
  <r>
    <x v="129"/>
    <x v="19"/>
  </r>
  <r>
    <x v="130"/>
    <x v="19"/>
  </r>
  <r>
    <x v="131"/>
    <x v="47"/>
  </r>
  <r>
    <x v="132"/>
    <x v="4"/>
  </r>
  <r>
    <x v="133"/>
    <x v="19"/>
  </r>
  <r>
    <x v="134"/>
    <x v="32"/>
  </r>
  <r>
    <x v="135"/>
    <x v="33"/>
  </r>
  <r>
    <x v="136"/>
    <x v="48"/>
  </r>
  <r>
    <x v="137"/>
    <x v="49"/>
  </r>
  <r>
    <x v="138"/>
    <x v="50"/>
  </r>
  <r>
    <x v="139"/>
    <x v="19"/>
  </r>
  <r>
    <x v="140"/>
    <x v="4"/>
  </r>
  <r>
    <x v="141"/>
    <x v="39"/>
  </r>
  <r>
    <x v="142"/>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D1:E196" firstHeaderRow="1" firstDataRow="1" firstDataCol="2"/>
  <pivotFields count="2">
    <pivotField axis="axisRow" compact="0" showAll="0">
      <items count="144">
        <item x="0"/>
        <item x="1"/>
        <item x="2"/>
        <item x="3"/>
        <item x="4"/>
        <item x="5"/>
        <item x="6"/>
        <item x="7"/>
        <item x="8"/>
        <item x="9"/>
        <item x="10"/>
        <item x="11"/>
        <item x="12"/>
        <item x="13"/>
        <item x="14"/>
        <item x="15"/>
        <item x="16"/>
        <item x="17"/>
        <item x="18"/>
        <item x="19"/>
        <item x="20"/>
        <item x="21"/>
        <item x="142"/>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41"/>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t="default"/>
      </items>
    </pivotField>
    <pivotField axis="axisRow" compact="0" showAll="0">
      <items count="52">
        <item x="0"/>
        <item x="1"/>
        <item x="2"/>
        <item x="3"/>
        <item x="5"/>
        <item x="6"/>
        <item x="7"/>
        <item x="8"/>
        <item x="9"/>
        <item x="10"/>
        <item x="11"/>
        <item x="12"/>
        <item x="13"/>
        <item x="14"/>
        <item x="15"/>
        <item x="16"/>
        <item x="17"/>
        <item x="4"/>
        <item x="18"/>
        <item x="20"/>
        <item x="21"/>
        <item x="22"/>
        <item x="23"/>
        <item x="24"/>
        <item x="25"/>
        <item x="26"/>
        <item x="27"/>
        <item x="28"/>
        <item x="19"/>
        <item x="29"/>
        <item x="30"/>
        <item x="34"/>
        <item x="31"/>
        <item x="33"/>
        <item x="35"/>
        <item x="36"/>
        <item x="37"/>
        <item x="38"/>
        <item x="39"/>
        <item x="40"/>
        <item x="41"/>
        <item x="42"/>
        <item x="43"/>
        <item x="44"/>
        <item x="45"/>
        <item x="46"/>
        <item x="47"/>
        <item x="48"/>
        <item x="49"/>
        <item x="50"/>
        <item x="32"/>
        <item t="default"/>
      </items>
    </pivotField>
  </pivotFields>
  <rowFields count="2">
    <field x="1"/>
    <field x="0"/>
  </rowFields>
  <rowItems count="195">
    <i>
      <x/>
    </i>
    <i r="1">
      <x/>
    </i>
    <i>
      <x v="1"/>
    </i>
    <i r="1">
      <x v="1"/>
    </i>
    <i r="1">
      <x v="2"/>
    </i>
    <i>
      <x v="2"/>
    </i>
    <i r="1">
      <x v="3"/>
    </i>
    <i>
      <x v="3"/>
    </i>
    <i r="1">
      <x v="4"/>
    </i>
    <i>
      <x v="4"/>
    </i>
    <i r="1">
      <x v="6"/>
    </i>
    <i>
      <x v="5"/>
    </i>
    <i r="1">
      <x v="7"/>
    </i>
    <i>
      <x v="6"/>
    </i>
    <i r="1">
      <x v="8"/>
    </i>
    <i r="1">
      <x v="10"/>
    </i>
    <i r="1">
      <x v="67"/>
    </i>
    <i>
      <x v="7"/>
    </i>
    <i r="1">
      <x v="11"/>
    </i>
    <i>
      <x v="8"/>
    </i>
    <i r="1">
      <x v="12"/>
    </i>
    <i r="1">
      <x v="13"/>
    </i>
    <i r="1">
      <x v="14"/>
    </i>
    <i r="1">
      <x v="15"/>
    </i>
    <i r="1">
      <x v="16"/>
    </i>
    <i r="1">
      <x v="85"/>
    </i>
    <i r="1">
      <x v="86"/>
    </i>
    <i r="1">
      <x v="121"/>
    </i>
    <i>
      <x v="9"/>
    </i>
    <i r="1">
      <x v="17"/>
    </i>
    <i r="1">
      <x v="18"/>
    </i>
    <i r="1">
      <x v="19"/>
    </i>
    <i r="1">
      <x v="20"/>
    </i>
    <i r="1">
      <x v="21"/>
    </i>
    <i r="1">
      <x v="22"/>
    </i>
    <i>
      <x v="10"/>
    </i>
    <i r="1">
      <x v="23"/>
    </i>
    <i r="1">
      <x v="24"/>
    </i>
    <i>
      <x v="11"/>
    </i>
    <i r="1">
      <x v="25"/>
    </i>
    <i r="1">
      <x v="26"/>
    </i>
    <i>
      <x v="12"/>
    </i>
    <i r="1">
      <x v="27"/>
    </i>
    <i r="1">
      <x v="28"/>
    </i>
    <i r="1">
      <x v="29"/>
    </i>
    <i>
      <x v="13"/>
    </i>
    <i r="1">
      <x v="30"/>
    </i>
    <i r="1">
      <x v="31"/>
    </i>
    <i r="1">
      <x v="32"/>
    </i>
    <i r="1">
      <x v="33"/>
    </i>
    <i r="1">
      <x v="34"/>
    </i>
    <i>
      <x v="14"/>
    </i>
    <i r="1">
      <x v="35"/>
    </i>
    <i>
      <x v="15"/>
    </i>
    <i r="1">
      <x v="37"/>
    </i>
    <i>
      <x v="16"/>
    </i>
    <i r="1">
      <x v="38"/>
    </i>
    <i>
      <x v="17"/>
    </i>
    <i r="1">
      <x v="5"/>
    </i>
    <i r="1">
      <x v="9"/>
    </i>
    <i r="1">
      <x v="36"/>
    </i>
    <i r="1">
      <x v="39"/>
    </i>
    <i r="1">
      <x v="40"/>
    </i>
    <i r="1">
      <x v="41"/>
    </i>
    <i r="1">
      <x v="42"/>
    </i>
    <i r="1">
      <x v="43"/>
    </i>
    <i r="1">
      <x v="44"/>
    </i>
    <i r="1">
      <x v="45"/>
    </i>
    <i r="1">
      <x v="46"/>
    </i>
    <i r="1">
      <x v="47"/>
    </i>
    <i r="1">
      <x v="48"/>
    </i>
    <i r="1">
      <x v="51"/>
    </i>
    <i r="1">
      <x v="52"/>
    </i>
    <i r="1">
      <x v="56"/>
    </i>
    <i r="1">
      <x v="58"/>
    </i>
    <i r="1">
      <x v="66"/>
    </i>
    <i r="1">
      <x v="77"/>
    </i>
    <i r="1">
      <x v="79"/>
    </i>
    <i r="1">
      <x v="89"/>
    </i>
    <i r="1">
      <x v="92"/>
    </i>
    <i r="1">
      <x v="97"/>
    </i>
    <i r="1">
      <x v="98"/>
    </i>
    <i r="1">
      <x v="100"/>
    </i>
    <i r="1">
      <x v="104"/>
    </i>
    <i r="1">
      <x v="105"/>
    </i>
    <i r="1">
      <x v="106"/>
    </i>
    <i r="1">
      <x v="107"/>
    </i>
    <i r="1">
      <x v="117"/>
    </i>
    <i r="1">
      <x v="122"/>
    </i>
    <i r="1">
      <x v="123"/>
    </i>
    <i r="1">
      <x v="125"/>
    </i>
    <i r="1">
      <x v="127"/>
    </i>
    <i r="1">
      <x v="128"/>
    </i>
    <i r="1">
      <x v="129"/>
    </i>
    <i r="1">
      <x v="130"/>
    </i>
    <i r="1">
      <x v="134"/>
    </i>
    <i r="1">
      <x v="142"/>
    </i>
    <i>
      <x v="18"/>
    </i>
    <i r="1">
      <x v="49"/>
    </i>
    <i>
      <x v="19"/>
    </i>
    <i r="1">
      <x v="53"/>
    </i>
    <i>
      <x v="20"/>
    </i>
    <i r="1">
      <x v="54"/>
    </i>
    <i r="1">
      <x v="55"/>
    </i>
    <i r="1">
      <x v="72"/>
    </i>
    <i r="1">
      <x v="73"/>
    </i>
    <i>
      <x v="21"/>
    </i>
    <i r="1">
      <x v="61"/>
    </i>
    <i>
      <x v="22"/>
    </i>
    <i r="1">
      <x v="62"/>
    </i>
    <i r="1">
      <x v="63"/>
    </i>
    <i r="1">
      <x v="64"/>
    </i>
    <i>
      <x v="23"/>
    </i>
    <i r="1">
      <x v="65"/>
    </i>
    <i>
      <x v="24"/>
    </i>
    <i r="1">
      <x v="68"/>
    </i>
    <i>
      <x v="25"/>
    </i>
    <i r="1">
      <x v="70"/>
    </i>
    <i>
      <x v="26"/>
    </i>
    <i r="1">
      <x v="71"/>
    </i>
    <i>
      <x v="27"/>
    </i>
    <i r="1">
      <x v="74"/>
    </i>
    <i>
      <x v="28"/>
    </i>
    <i r="1">
      <x v="50"/>
    </i>
    <i r="1">
      <x v="57"/>
    </i>
    <i r="1">
      <x v="59"/>
    </i>
    <i r="1">
      <x v="60"/>
    </i>
    <i r="1">
      <x v="69"/>
    </i>
    <i r="1">
      <x v="75"/>
    </i>
    <i r="1">
      <x v="76"/>
    </i>
    <i r="1">
      <x v="78"/>
    </i>
    <i r="1">
      <x v="80"/>
    </i>
    <i r="1">
      <x v="81"/>
    </i>
    <i r="1">
      <x v="82"/>
    </i>
    <i r="1">
      <x v="93"/>
    </i>
    <i r="1">
      <x v="118"/>
    </i>
    <i r="1">
      <x v="119"/>
    </i>
    <i r="1">
      <x v="131"/>
    </i>
    <i r="1">
      <x v="132"/>
    </i>
    <i r="1">
      <x v="135"/>
    </i>
    <i r="1">
      <x v="141"/>
    </i>
    <i>
      <x v="29"/>
    </i>
    <i r="1">
      <x v="83"/>
    </i>
    <i r="1">
      <x v="94"/>
    </i>
    <i>
      <x v="30"/>
    </i>
    <i r="1">
      <x v="84"/>
    </i>
    <i>
      <x v="31"/>
    </i>
    <i r="1">
      <x v="95"/>
    </i>
    <i>
      <x v="32"/>
    </i>
    <i r="1">
      <x v="87"/>
    </i>
    <i>
      <x v="33"/>
    </i>
    <i r="1">
      <x v="90"/>
    </i>
    <i r="1">
      <x v="91"/>
    </i>
    <i r="1">
      <x v="137"/>
    </i>
    <i>
      <x v="34"/>
    </i>
    <i r="1">
      <x v="96"/>
    </i>
    <i>
      <x v="35"/>
    </i>
    <i r="1">
      <x v="99"/>
    </i>
    <i>
      <x v="36"/>
    </i>
    <i r="1">
      <x v="101"/>
    </i>
    <i>
      <x v="37"/>
    </i>
    <i r="1">
      <x v="102"/>
    </i>
    <i r="1">
      <x v="103"/>
    </i>
    <i>
      <x v="38"/>
    </i>
    <i r="1">
      <x v="108"/>
    </i>
    <i r="1">
      <x v="109"/>
    </i>
    <i r="1">
      <x v="112"/>
    </i>
    <i r="1">
      <x v="113"/>
    </i>
    <i>
      <x v="39"/>
    </i>
    <i r="1">
      <x v="110"/>
    </i>
    <i>
      <x v="40"/>
    </i>
    <i r="1">
      <x v="111"/>
    </i>
    <i>
      <x v="41"/>
    </i>
    <i r="1">
      <x v="114"/>
    </i>
    <i r="1">
      <x v="115"/>
    </i>
    <i>
      <x v="42"/>
    </i>
    <i r="1">
      <x v="116"/>
    </i>
    <i>
      <x v="43"/>
    </i>
    <i r="1">
      <x v="120"/>
    </i>
    <i>
      <x v="44"/>
    </i>
    <i r="1">
      <x v="124"/>
    </i>
    <i>
      <x v="45"/>
    </i>
    <i r="1">
      <x v="126"/>
    </i>
    <i>
      <x v="46"/>
    </i>
    <i r="1">
      <x v="133"/>
    </i>
    <i>
      <x v="47"/>
    </i>
    <i r="1">
      <x v="138"/>
    </i>
    <i>
      <x v="48"/>
    </i>
    <i r="1">
      <x v="139"/>
    </i>
    <i>
      <x v="49"/>
    </i>
    <i r="1">
      <x v="140"/>
    </i>
    <i>
      <x v="50"/>
    </i>
    <i r="1">
      <x v="88"/>
    </i>
    <i r="1">
      <x v="13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topLeftCell="A7" workbookViewId="0">
      <selection activeCell="H21" sqref="H21"/>
    </sheetView>
  </sheetViews>
  <sheetFormatPr defaultColWidth="8.90625" defaultRowHeight="12.5"/>
  <cols>
    <col min="1" max="1" width="3" style="56" customWidth="1"/>
    <col min="2" max="13" width="8.90625" style="56"/>
    <col min="14" max="15" width="8.90625" style="56" customWidth="1"/>
    <col min="16" max="16384" width="8.90625" style="56"/>
  </cols>
  <sheetData>
    <row r="1" spans="2:15" ht="14.5">
      <c r="B1" s="57"/>
      <c r="C1" s="58"/>
      <c r="D1" s="58"/>
      <c r="E1" s="58"/>
      <c r="F1" s="58"/>
      <c r="G1" s="58"/>
      <c r="H1" s="58"/>
      <c r="I1" s="58"/>
      <c r="J1" s="58"/>
      <c r="K1" s="58"/>
      <c r="L1" s="58"/>
      <c r="M1" s="58"/>
      <c r="N1" s="58"/>
      <c r="O1" s="67"/>
    </row>
    <row r="2" spans="2:15" ht="14.5">
      <c r="B2" s="59"/>
      <c r="C2" s="60"/>
      <c r="D2" s="60"/>
      <c r="E2" s="60"/>
      <c r="F2" s="60"/>
      <c r="G2" s="60"/>
      <c r="H2" s="60"/>
      <c r="I2" s="60"/>
      <c r="J2" s="60"/>
      <c r="K2" s="60"/>
      <c r="L2" s="60"/>
      <c r="M2" s="60"/>
      <c r="N2" s="60"/>
      <c r="O2" s="68"/>
    </row>
    <row r="3" spans="2:15" ht="14.5">
      <c r="B3" s="59"/>
      <c r="C3" s="60"/>
      <c r="D3" s="60"/>
      <c r="E3" s="60"/>
      <c r="F3" s="60"/>
      <c r="G3" s="60"/>
      <c r="H3" s="60"/>
      <c r="I3" s="60"/>
      <c r="J3" s="60"/>
      <c r="K3" s="60"/>
      <c r="L3" s="60"/>
      <c r="M3" s="60"/>
      <c r="N3" s="60"/>
      <c r="O3" s="68"/>
    </row>
    <row r="4" spans="2:15" ht="15.5">
      <c r="B4" s="59"/>
      <c r="C4" s="60"/>
      <c r="D4" s="60"/>
      <c r="E4" s="60"/>
      <c r="F4" s="60"/>
      <c r="G4" s="60"/>
      <c r="H4" s="60"/>
      <c r="I4" s="69"/>
      <c r="J4" s="60"/>
      <c r="K4" s="60"/>
      <c r="L4" s="60"/>
      <c r="M4" s="60"/>
      <c r="N4" s="60"/>
      <c r="O4" s="68"/>
    </row>
    <row r="5" spans="2:15" ht="14.5">
      <c r="B5" s="59"/>
      <c r="C5" s="60"/>
      <c r="D5" s="60"/>
      <c r="E5" s="60"/>
      <c r="F5" s="60"/>
      <c r="G5" s="60"/>
      <c r="H5" s="60"/>
      <c r="I5" s="60"/>
      <c r="J5" s="60"/>
      <c r="K5" s="60"/>
      <c r="L5" s="60"/>
      <c r="M5" s="60"/>
      <c r="N5" s="60"/>
      <c r="O5" s="68"/>
    </row>
    <row r="6" spans="2:15" ht="14.5">
      <c r="B6" s="61"/>
      <c r="C6" s="60"/>
      <c r="D6" s="60"/>
      <c r="E6" s="60"/>
      <c r="F6" s="60"/>
      <c r="G6" s="60"/>
      <c r="H6" s="60"/>
      <c r="I6" s="60"/>
      <c r="J6" s="60"/>
      <c r="K6" s="60"/>
      <c r="L6" s="60"/>
      <c r="M6" s="60"/>
      <c r="N6" s="60"/>
      <c r="O6" s="68"/>
    </row>
    <row r="7" spans="2:15" ht="14.5">
      <c r="B7" s="61"/>
      <c r="C7" s="60"/>
      <c r="D7" s="60"/>
      <c r="E7" s="60"/>
      <c r="F7" s="60"/>
      <c r="G7" s="60"/>
      <c r="H7" s="60"/>
      <c r="I7" s="60"/>
      <c r="J7" s="60"/>
      <c r="K7" s="60"/>
      <c r="L7" s="60"/>
      <c r="M7" s="60"/>
      <c r="N7" s="60"/>
      <c r="O7" s="68"/>
    </row>
    <row r="8" spans="2:15" ht="14.5">
      <c r="B8" s="61"/>
      <c r="C8" s="60"/>
      <c r="D8" s="60"/>
      <c r="E8" s="60"/>
      <c r="F8" s="60"/>
      <c r="G8" s="60"/>
      <c r="H8" s="60"/>
      <c r="I8" s="60"/>
      <c r="J8" s="60"/>
      <c r="K8" s="60"/>
      <c r="L8" s="60"/>
      <c r="M8" s="60"/>
      <c r="N8" s="60"/>
      <c r="O8" s="68"/>
    </row>
    <row r="9" spans="2:15" ht="14.5">
      <c r="B9" s="61"/>
      <c r="C9" s="60"/>
      <c r="D9" s="60"/>
      <c r="E9" s="60"/>
      <c r="F9" s="60"/>
      <c r="G9" s="60"/>
      <c r="H9" s="60"/>
      <c r="I9" s="60"/>
      <c r="J9" s="60"/>
      <c r="K9" s="60"/>
      <c r="L9" s="60"/>
      <c r="M9" s="60"/>
      <c r="N9" s="60"/>
      <c r="O9" s="68"/>
    </row>
    <row r="10" spans="2:15" ht="14.5">
      <c r="B10" s="61"/>
      <c r="C10" s="60"/>
      <c r="D10" s="60"/>
      <c r="E10" s="60"/>
      <c r="F10" s="60"/>
      <c r="G10" s="60"/>
      <c r="H10" s="60"/>
      <c r="I10" s="60"/>
      <c r="J10" s="60"/>
      <c r="K10" s="60"/>
      <c r="L10" s="60"/>
      <c r="M10" s="60"/>
      <c r="N10" s="60"/>
      <c r="O10" s="68"/>
    </row>
    <row r="11" spans="2:15" s="55" customFormat="1" ht="17.5">
      <c r="B11" s="94" t="s">
        <v>0</v>
      </c>
      <c r="C11" s="95"/>
      <c r="D11" s="95"/>
      <c r="E11" s="95"/>
      <c r="F11" s="95"/>
      <c r="G11" s="95"/>
      <c r="H11" s="95"/>
      <c r="I11" s="95"/>
      <c r="J11" s="95"/>
      <c r="K11" s="95"/>
      <c r="L11" s="95"/>
      <c r="M11" s="95"/>
      <c r="N11" s="95"/>
      <c r="O11" s="96"/>
    </row>
    <row r="12" spans="2:15" s="55" customFormat="1" ht="17.5">
      <c r="B12" s="62"/>
      <c r="C12" s="63"/>
      <c r="D12" s="63"/>
      <c r="E12" s="63"/>
      <c r="F12" s="64"/>
      <c r="G12" s="63"/>
      <c r="H12" s="63"/>
      <c r="I12" s="63"/>
      <c r="J12" s="63"/>
      <c r="K12" s="63"/>
      <c r="L12" s="63"/>
      <c r="M12" s="63"/>
      <c r="N12" s="63"/>
      <c r="O12" s="70"/>
    </row>
    <row r="13" spans="2:15" s="55" customFormat="1" ht="25">
      <c r="B13" s="97" t="s">
        <v>1</v>
      </c>
      <c r="C13" s="98"/>
      <c r="D13" s="98"/>
      <c r="E13" s="98"/>
      <c r="F13" s="98"/>
      <c r="G13" s="98"/>
      <c r="H13" s="98"/>
      <c r="I13" s="98"/>
      <c r="J13" s="98"/>
      <c r="K13" s="98"/>
      <c r="L13" s="98"/>
      <c r="M13" s="98"/>
      <c r="N13" s="98"/>
      <c r="O13" s="99"/>
    </row>
    <row r="14" spans="2:15" ht="14.5">
      <c r="B14" s="61"/>
      <c r="C14" s="60"/>
      <c r="D14" s="60"/>
      <c r="E14" s="60"/>
      <c r="F14" s="60"/>
      <c r="G14" s="60"/>
      <c r="H14" s="60"/>
      <c r="I14" s="60"/>
      <c r="J14" s="60"/>
      <c r="K14" s="60"/>
      <c r="L14" s="60"/>
      <c r="M14" s="60"/>
      <c r="N14" s="60"/>
      <c r="O14" s="68"/>
    </row>
    <row r="15" spans="2:15" ht="14.5">
      <c r="B15" s="61"/>
      <c r="C15" s="60"/>
      <c r="D15" s="60"/>
      <c r="E15" s="60"/>
      <c r="F15" s="60"/>
      <c r="G15" s="60"/>
      <c r="H15" s="60"/>
      <c r="I15" s="60"/>
      <c r="J15" s="60"/>
      <c r="K15" s="60"/>
      <c r="L15" s="60"/>
      <c r="M15" s="60"/>
      <c r="N15" s="60"/>
      <c r="O15" s="68"/>
    </row>
    <row r="16" spans="2:15" ht="14.5">
      <c r="B16" s="61"/>
      <c r="C16" s="60"/>
      <c r="D16" s="60"/>
      <c r="E16" s="60"/>
      <c r="F16" s="60"/>
      <c r="G16" s="60"/>
      <c r="H16" s="60"/>
      <c r="I16" s="60"/>
      <c r="J16" s="60"/>
      <c r="K16" s="60"/>
      <c r="L16" s="60"/>
      <c r="M16" s="60"/>
      <c r="N16" s="60"/>
      <c r="O16" s="68"/>
    </row>
    <row r="17" spans="2:15" ht="24" customHeight="1">
      <c r="B17" s="61"/>
      <c r="C17" s="60"/>
      <c r="D17" s="60"/>
      <c r="E17" s="60"/>
      <c r="F17" s="100" t="s">
        <v>2</v>
      </c>
      <c r="G17" s="101"/>
      <c r="H17" s="101"/>
      <c r="I17" s="102" t="s">
        <v>3</v>
      </c>
      <c r="J17" s="102"/>
      <c r="K17" s="103"/>
      <c r="L17" s="60"/>
      <c r="M17" s="60"/>
      <c r="N17" s="60"/>
      <c r="O17" s="68"/>
    </row>
    <row r="18" spans="2:15" ht="24" customHeight="1">
      <c r="B18" s="61"/>
      <c r="C18" s="60"/>
      <c r="D18" s="60"/>
      <c r="E18" s="60"/>
      <c r="F18" s="104" t="s">
        <v>4</v>
      </c>
      <c r="G18" s="105"/>
      <c r="H18" s="105"/>
      <c r="I18" s="106" t="s">
        <v>5</v>
      </c>
      <c r="J18" s="106"/>
      <c r="K18" s="107"/>
      <c r="L18" s="60"/>
      <c r="M18" s="60"/>
      <c r="N18" s="60"/>
      <c r="O18" s="68"/>
    </row>
    <row r="19" spans="2:15" ht="24" customHeight="1">
      <c r="B19" s="61"/>
      <c r="C19" s="60"/>
      <c r="D19" s="60"/>
      <c r="E19" s="60"/>
      <c r="F19" s="89" t="s">
        <v>6</v>
      </c>
      <c r="G19" s="90"/>
      <c r="H19" s="90"/>
      <c r="I19" s="91" t="s">
        <v>7</v>
      </c>
      <c r="J19" s="92"/>
      <c r="K19" s="93"/>
      <c r="L19" s="60"/>
      <c r="M19" s="60"/>
      <c r="N19" s="60"/>
      <c r="O19" s="68"/>
    </row>
    <row r="20" spans="2:15" ht="14.5">
      <c r="B20" s="61"/>
      <c r="C20" s="60"/>
      <c r="D20" s="60"/>
      <c r="E20" s="60"/>
      <c r="F20" s="60"/>
      <c r="G20" s="60"/>
      <c r="H20" s="60"/>
      <c r="I20" s="60"/>
      <c r="J20" s="60"/>
      <c r="K20" s="60"/>
      <c r="L20" s="60"/>
      <c r="M20" s="60"/>
      <c r="N20" s="60"/>
      <c r="O20" s="68"/>
    </row>
    <row r="21" spans="2:15" ht="14.5">
      <c r="B21" s="61"/>
      <c r="C21" s="60"/>
      <c r="D21" s="60"/>
      <c r="E21" s="60"/>
      <c r="F21" s="60"/>
      <c r="G21" s="60"/>
      <c r="H21" s="60"/>
      <c r="I21" s="60"/>
      <c r="J21" s="60"/>
      <c r="K21" s="60"/>
      <c r="L21" s="60"/>
      <c r="M21" s="60"/>
      <c r="N21" s="60"/>
      <c r="O21" s="68"/>
    </row>
    <row r="22" spans="2:15" ht="14.5">
      <c r="B22" s="61"/>
      <c r="C22" s="60"/>
      <c r="D22" s="60"/>
      <c r="E22" s="60"/>
      <c r="F22" s="60"/>
      <c r="G22" s="60"/>
      <c r="H22" s="60"/>
      <c r="I22" s="60"/>
      <c r="J22" s="60"/>
      <c r="K22" s="60"/>
      <c r="L22" s="60"/>
      <c r="M22" s="60"/>
      <c r="N22" s="60"/>
      <c r="O22" s="68"/>
    </row>
    <row r="23" spans="2:15" ht="14.5">
      <c r="B23" s="61"/>
      <c r="C23" s="60"/>
      <c r="D23" s="60"/>
      <c r="E23" s="60"/>
      <c r="F23" s="60"/>
      <c r="G23" s="60"/>
      <c r="H23" s="60"/>
      <c r="I23" s="60"/>
      <c r="J23" s="60"/>
      <c r="K23" s="60"/>
      <c r="L23" s="60"/>
      <c r="M23" s="60"/>
      <c r="N23" s="60"/>
      <c r="O23" s="68"/>
    </row>
    <row r="24" spans="2:15" ht="14.5">
      <c r="B24" s="61"/>
      <c r="C24" s="60"/>
      <c r="D24" s="60"/>
      <c r="E24" s="60"/>
      <c r="F24" s="60"/>
      <c r="G24" s="60"/>
      <c r="H24" s="60"/>
      <c r="I24" s="60"/>
      <c r="J24" s="60"/>
      <c r="K24" s="60"/>
      <c r="L24" s="60"/>
      <c r="M24" s="60"/>
      <c r="N24" s="60"/>
      <c r="O24" s="68"/>
    </row>
    <row r="25" spans="2:15" ht="14.5">
      <c r="B25" s="61"/>
      <c r="C25" s="60"/>
      <c r="D25" s="60"/>
      <c r="E25" s="60"/>
      <c r="F25" s="60"/>
      <c r="G25" s="60"/>
      <c r="H25" s="60"/>
      <c r="I25" s="60"/>
      <c r="J25" s="60"/>
      <c r="K25" s="60"/>
      <c r="L25" s="60"/>
      <c r="M25" s="60"/>
      <c r="N25" s="60"/>
      <c r="O25" s="68"/>
    </row>
    <row r="26" spans="2:15" ht="14.5">
      <c r="B26" s="61"/>
      <c r="C26" s="60"/>
      <c r="D26" s="60"/>
      <c r="E26" s="60"/>
      <c r="F26" s="60"/>
      <c r="G26" s="60"/>
      <c r="H26" s="60"/>
      <c r="I26" s="60"/>
      <c r="J26" s="60"/>
      <c r="K26" s="60"/>
      <c r="L26" s="60"/>
      <c r="M26" s="60"/>
      <c r="N26" s="60"/>
      <c r="O26" s="68"/>
    </row>
    <row r="27" spans="2:15" ht="14.5">
      <c r="B27" s="65"/>
      <c r="C27" s="66"/>
      <c r="D27" s="66"/>
      <c r="E27" s="66"/>
      <c r="F27" s="66"/>
      <c r="G27" s="66"/>
      <c r="H27" s="66"/>
      <c r="I27" s="66"/>
      <c r="J27" s="66"/>
      <c r="K27" s="66"/>
      <c r="L27" s="66"/>
      <c r="M27" s="66"/>
      <c r="N27" s="66"/>
      <c r="O27" s="71"/>
    </row>
  </sheetData>
  <mergeCells count="8">
    <mergeCell ref="F19:H19"/>
    <mergeCell ref="I19:K19"/>
    <mergeCell ref="B11:O11"/>
    <mergeCell ref="B13:O13"/>
    <mergeCell ref="F17:H17"/>
    <mergeCell ref="I17:K17"/>
    <mergeCell ref="F18:H18"/>
    <mergeCell ref="I18:K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7"/>
  <sheetViews>
    <sheetView topLeftCell="A16" zoomScale="88" zoomScaleNormal="88" workbookViewId="0">
      <selection activeCell="J29" sqref="J29"/>
    </sheetView>
  </sheetViews>
  <sheetFormatPr defaultColWidth="9.08984375" defaultRowHeight="12.5"/>
  <cols>
    <col min="1" max="1" width="4.90625" style="76" customWidth="1"/>
    <col min="2" max="2" width="17.453125" style="76" customWidth="1"/>
    <col min="3" max="3" width="18.08984375" style="76" customWidth="1"/>
    <col min="4" max="4" width="9.54296875" style="76" customWidth="1"/>
    <col min="5" max="5" width="55.08984375" style="76" customWidth="1"/>
    <col min="6" max="6" width="3.08984375" style="76" customWidth="1"/>
    <col min="7" max="16384" width="9.08984375" style="76"/>
  </cols>
  <sheetData>
    <row r="1" spans="1:6" ht="29.25" customHeight="1">
      <c r="A1" s="108" t="s">
        <v>544</v>
      </c>
      <c r="B1" s="108"/>
      <c r="C1" s="108"/>
      <c r="D1" s="108"/>
      <c r="E1" s="108"/>
    </row>
    <row r="2" spans="1:6" ht="13">
      <c r="A2" s="77" t="s">
        <v>8</v>
      </c>
    </row>
    <row r="3" spans="1:6" ht="13">
      <c r="A3" s="77" t="s">
        <v>9</v>
      </c>
    </row>
    <row r="4" spans="1:6" ht="13">
      <c r="A4" s="77"/>
    </row>
    <row r="5" spans="1:6" ht="18" customHeight="1">
      <c r="A5" s="78">
        <v>1</v>
      </c>
      <c r="B5" s="79" t="s">
        <v>10</v>
      </c>
      <c r="C5" s="109" t="str">
        <f>A1</f>
        <v>EF2 Business English Communication 1-10</v>
      </c>
      <c r="D5" s="110"/>
      <c r="E5" s="110"/>
    </row>
    <row r="6" spans="1:6" ht="13">
      <c r="A6" s="80">
        <v>2</v>
      </c>
      <c r="B6" s="81" t="s">
        <v>11</v>
      </c>
      <c r="C6" s="111" t="s">
        <v>545</v>
      </c>
      <c r="D6" s="112"/>
      <c r="E6" s="112"/>
    </row>
    <row r="7" spans="1:6" ht="13">
      <c r="A7" s="80">
        <v>3</v>
      </c>
      <c r="B7" s="81" t="s">
        <v>4</v>
      </c>
      <c r="C7" s="113" t="s">
        <v>12</v>
      </c>
      <c r="D7" s="114"/>
      <c r="E7" s="114"/>
    </row>
    <row r="8" spans="1:6" ht="45.9" customHeight="1">
      <c r="A8" s="80">
        <v>4</v>
      </c>
      <c r="B8" s="81" t="s">
        <v>13</v>
      </c>
      <c r="C8" s="112" t="s">
        <v>14</v>
      </c>
      <c r="D8" s="112"/>
      <c r="E8" s="112"/>
    </row>
    <row r="9" spans="1:6" ht="21" customHeight="1">
      <c r="A9" s="80">
        <v>4.0999999999999996</v>
      </c>
      <c r="B9" s="81"/>
      <c r="C9" s="82" t="s">
        <v>15</v>
      </c>
      <c r="D9" s="115" t="s">
        <v>16</v>
      </c>
      <c r="E9" s="116"/>
    </row>
    <row r="10" spans="1:6" ht="23.15" customHeight="1">
      <c r="A10" s="80">
        <v>4.2</v>
      </c>
      <c r="B10" s="81"/>
      <c r="C10" s="82" t="s">
        <v>17</v>
      </c>
      <c r="D10" s="115" t="s">
        <v>16</v>
      </c>
      <c r="E10" s="116"/>
    </row>
    <row r="11" spans="1:6" ht="16.5" customHeight="1">
      <c r="A11" s="126">
        <v>5</v>
      </c>
      <c r="B11" s="128" t="s">
        <v>18</v>
      </c>
      <c r="C11" s="133" t="s">
        <v>297</v>
      </c>
      <c r="D11" s="134"/>
      <c r="E11" s="135"/>
    </row>
    <row r="12" spans="1:6" ht="78.75" customHeight="1">
      <c r="A12" s="126"/>
      <c r="B12" s="128"/>
      <c r="C12" s="136"/>
      <c r="D12" s="137"/>
      <c r="E12" s="138"/>
    </row>
    <row r="13" spans="1:6" ht="8.15" customHeight="1">
      <c r="A13" s="126"/>
      <c r="B13" s="128"/>
      <c r="C13" s="139"/>
      <c r="D13" s="140"/>
      <c r="E13" s="141"/>
    </row>
    <row r="14" spans="1:6" ht="51.75" customHeight="1">
      <c r="A14" s="80">
        <v>6</v>
      </c>
      <c r="B14" s="81" t="s">
        <v>19</v>
      </c>
      <c r="C14" s="117"/>
      <c r="D14" s="114"/>
      <c r="E14" s="114"/>
      <c r="F14" s="83"/>
    </row>
    <row r="15" spans="1:6" ht="24" customHeight="1">
      <c r="A15" s="126">
        <v>7</v>
      </c>
      <c r="B15" s="129" t="s">
        <v>20</v>
      </c>
      <c r="C15" s="84" t="s">
        <v>21</v>
      </c>
      <c r="D15" s="85">
        <f>Schedule!J65</f>
        <v>0.95</v>
      </c>
      <c r="E15" s="86" t="s">
        <v>22</v>
      </c>
    </row>
    <row r="16" spans="1:6" ht="13">
      <c r="A16" s="126"/>
      <c r="B16" s="129"/>
      <c r="C16" s="84" t="s">
        <v>23</v>
      </c>
      <c r="D16" s="85">
        <f>Schedule!J66</f>
        <v>0</v>
      </c>
      <c r="E16" s="86" t="s">
        <v>24</v>
      </c>
    </row>
    <row r="17" spans="1:5" ht="26">
      <c r="A17" s="126"/>
      <c r="B17" s="129"/>
      <c r="C17" s="84" t="s">
        <v>25</v>
      </c>
      <c r="D17" s="85">
        <f>Schedule!J67</f>
        <v>0</v>
      </c>
      <c r="E17" s="86" t="s">
        <v>26</v>
      </c>
    </row>
    <row r="18" spans="1:5" ht="13">
      <c r="A18" s="126"/>
      <c r="B18" s="129"/>
      <c r="C18" s="84" t="s">
        <v>27</v>
      </c>
      <c r="D18" s="85">
        <f>Schedule!J68</f>
        <v>0</v>
      </c>
      <c r="E18" s="86" t="s">
        <v>28</v>
      </c>
    </row>
    <row r="19" spans="1:5" ht="13">
      <c r="A19" s="126"/>
      <c r="B19" s="129"/>
      <c r="C19" s="84" t="s">
        <v>29</v>
      </c>
      <c r="D19" s="85">
        <f>Schedule!J69</f>
        <v>0.05</v>
      </c>
      <c r="E19" s="86" t="s">
        <v>30</v>
      </c>
    </row>
    <row r="20" spans="1:5" ht="13">
      <c r="A20" s="126">
        <v>8</v>
      </c>
      <c r="B20" s="129" t="s">
        <v>31</v>
      </c>
      <c r="C20" s="132" t="s">
        <v>32</v>
      </c>
      <c r="D20" s="113"/>
      <c r="E20" s="114"/>
    </row>
    <row r="21" spans="1:5" ht="13">
      <c r="A21" s="126"/>
      <c r="B21" s="129"/>
      <c r="C21" s="132"/>
      <c r="D21" s="113"/>
      <c r="E21" s="114"/>
    </row>
    <row r="22" spans="1:5" ht="13">
      <c r="A22" s="126"/>
      <c r="B22" s="129"/>
      <c r="C22" s="132" t="s">
        <v>33</v>
      </c>
      <c r="D22" s="118"/>
      <c r="E22" s="119"/>
    </row>
    <row r="23" spans="1:5" ht="13">
      <c r="A23" s="126"/>
      <c r="B23" s="129"/>
      <c r="C23" s="132"/>
      <c r="D23" s="118"/>
      <c r="E23" s="119"/>
    </row>
    <row r="24" spans="1:5" ht="13">
      <c r="A24" s="126"/>
      <c r="B24" s="129"/>
      <c r="C24" s="132"/>
      <c r="D24" s="118"/>
      <c r="E24" s="119"/>
    </row>
    <row r="25" spans="1:5" ht="33" customHeight="1">
      <c r="A25" s="126"/>
      <c r="B25" s="129"/>
      <c r="C25" s="84" t="s">
        <v>34</v>
      </c>
      <c r="D25" s="112"/>
      <c r="E25" s="112"/>
    </row>
    <row r="26" spans="1:5" ht="14.4" customHeight="1">
      <c r="A26" s="126">
        <v>9</v>
      </c>
      <c r="B26" s="129" t="s">
        <v>35</v>
      </c>
      <c r="C26" s="84" t="s">
        <v>36</v>
      </c>
      <c r="D26" s="111"/>
      <c r="E26" s="112"/>
    </row>
    <row r="27" spans="1:5" ht="14.4" customHeight="1">
      <c r="A27" s="126"/>
      <c r="B27" s="129"/>
      <c r="C27" s="84" t="s">
        <v>38</v>
      </c>
      <c r="D27" s="111"/>
      <c r="E27" s="112"/>
    </row>
    <row r="28" spans="1:5" ht="34.5" customHeight="1">
      <c r="A28" s="126"/>
      <c r="B28" s="129"/>
      <c r="C28" s="84" t="s">
        <v>39</v>
      </c>
      <c r="D28" s="111"/>
      <c r="E28" s="112"/>
    </row>
    <row r="29" spans="1:5" ht="110.15" customHeight="1">
      <c r="A29" s="126"/>
      <c r="B29" s="129"/>
      <c r="C29" s="87" t="s">
        <v>40</v>
      </c>
      <c r="D29" s="120" t="s">
        <v>546</v>
      </c>
      <c r="E29" s="121"/>
    </row>
    <row r="30" spans="1:5" ht="14.4" customHeight="1">
      <c r="A30" s="126">
        <v>10</v>
      </c>
      <c r="B30" s="130" t="s">
        <v>41</v>
      </c>
      <c r="C30" s="84" t="s">
        <v>42</v>
      </c>
      <c r="D30" s="111" t="s">
        <v>43</v>
      </c>
      <c r="E30" s="112"/>
    </row>
    <row r="31" spans="1:5" ht="15.9" customHeight="1">
      <c r="A31" s="126"/>
      <c r="B31" s="130"/>
      <c r="C31" s="87" t="s">
        <v>44</v>
      </c>
      <c r="D31" s="122" t="s">
        <v>298</v>
      </c>
      <c r="E31" s="123"/>
    </row>
    <row r="32" spans="1:5" ht="18" customHeight="1">
      <c r="A32" s="126"/>
      <c r="B32" s="130"/>
      <c r="C32" s="87" t="s">
        <v>45</v>
      </c>
      <c r="D32" s="142" t="s">
        <v>298</v>
      </c>
      <c r="E32" s="143"/>
    </row>
    <row r="33" spans="1:5" ht="17.149999999999999" customHeight="1">
      <c r="A33" s="126"/>
      <c r="B33" s="130"/>
      <c r="C33" s="87" t="s">
        <v>46</v>
      </c>
      <c r="D33" s="142" t="s">
        <v>47</v>
      </c>
      <c r="E33" s="143"/>
    </row>
    <row r="34" spans="1:5" ht="13">
      <c r="A34" s="126"/>
      <c r="B34" s="130"/>
      <c r="C34" s="84" t="s">
        <v>48</v>
      </c>
      <c r="D34" s="111" t="s">
        <v>37</v>
      </c>
      <c r="E34" s="112"/>
    </row>
    <row r="35" spans="1:5" ht="16.5" customHeight="1">
      <c r="A35" s="126"/>
      <c r="B35" s="130"/>
      <c r="C35" s="84" t="s">
        <v>49</v>
      </c>
      <c r="D35" s="111" t="s">
        <v>37</v>
      </c>
      <c r="E35" s="112"/>
    </row>
    <row r="36" spans="1:5" ht="16.5" customHeight="1">
      <c r="A36" s="126"/>
      <c r="B36" s="130"/>
      <c r="C36" s="84" t="s">
        <v>50</v>
      </c>
      <c r="D36" s="111" t="s">
        <v>37</v>
      </c>
      <c r="E36" s="112"/>
    </row>
    <row r="37" spans="1:5" ht="16.5" customHeight="1">
      <c r="A37" s="127"/>
      <c r="B37" s="131"/>
      <c r="C37" s="88" t="s">
        <v>51</v>
      </c>
      <c r="D37" s="124" t="s">
        <v>37</v>
      </c>
      <c r="E37" s="125"/>
    </row>
  </sheetData>
  <mergeCells count="39">
    <mergeCell ref="D37:E37"/>
    <mergeCell ref="A11:A13"/>
    <mergeCell ref="A15:A19"/>
    <mergeCell ref="A20:A25"/>
    <mergeCell ref="A26:A29"/>
    <mergeCell ref="A30:A37"/>
    <mergeCell ref="B11:B13"/>
    <mergeCell ref="B15:B19"/>
    <mergeCell ref="B20:B25"/>
    <mergeCell ref="B26:B29"/>
    <mergeCell ref="B30:B37"/>
    <mergeCell ref="C20:C21"/>
    <mergeCell ref="C22:C24"/>
    <mergeCell ref="C11:E13"/>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9:E9"/>
    <mergeCell ref="D10:E10"/>
    <mergeCell ref="C14:E14"/>
    <mergeCell ref="D20:E20"/>
    <mergeCell ref="D21:E21"/>
    <mergeCell ref="A1:E1"/>
    <mergeCell ref="C5:E5"/>
    <mergeCell ref="C6:E6"/>
    <mergeCell ref="C7:E7"/>
    <mergeCell ref="C8:E8"/>
  </mergeCells>
  <pageMargins left="0.70866141732283505" right="0.70866141732283505" top="0.31496062992126" bottom="0.31496062992126" header="0.23622047244094499" footer="0.23622047244094499"/>
  <pageSetup paperSize="9" scale="90" orientation="landscape" r:id="rId1"/>
  <headerFooter>
    <oddFooter>&amp;L18e-BM/DT/FSOFT v1/1&amp;CInternal use&amp;R&amp;P/&amp;N</oddFooter>
  </headerFooter>
  <customProperties>
    <customPr name="DVSECTION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0"/>
  <sheetViews>
    <sheetView tabSelected="1" zoomScale="85" zoomScaleNormal="85" workbookViewId="0">
      <pane ySplit="2" topLeftCell="A3" activePane="bottomLeft" state="frozen"/>
      <selection pane="bottomLeft" activeCell="D13" sqref="D13:D18"/>
    </sheetView>
  </sheetViews>
  <sheetFormatPr defaultColWidth="9" defaultRowHeight="12.5"/>
  <cols>
    <col min="1" max="1" width="21" style="35" customWidth="1"/>
    <col min="2" max="2" width="6.54296875" style="35" customWidth="1"/>
    <col min="3" max="3" width="13.453125" style="36" customWidth="1"/>
    <col min="4" max="4" width="32.453125" style="36" customWidth="1"/>
    <col min="5" max="5" width="26.36328125" style="37" customWidth="1"/>
    <col min="6" max="6" width="57.54296875" style="37" customWidth="1"/>
    <col min="7" max="7" width="18.54296875" style="37" customWidth="1"/>
    <col min="8" max="8" width="17" style="35" customWidth="1"/>
    <col min="9" max="9" width="14.08984375" style="38" customWidth="1"/>
    <col min="10" max="10" width="43.54296875" style="38" customWidth="1"/>
    <col min="11" max="16384" width="9" style="37"/>
  </cols>
  <sheetData>
    <row r="1" spans="1:10" ht="36.75" customHeight="1">
      <c r="A1" s="144" t="str">
        <f>Syllabus!C5&amp;" - Training Schedule"</f>
        <v>EF2 Business English Communication 1-10 - Training Schedule</v>
      </c>
      <c r="B1" s="144"/>
      <c r="C1" s="144"/>
      <c r="D1" s="144"/>
      <c r="E1" s="144"/>
      <c r="F1" s="144"/>
      <c r="G1" s="144"/>
      <c r="H1" s="144"/>
      <c r="I1" s="144"/>
      <c r="J1" s="144"/>
    </row>
    <row r="2" spans="1:10" s="34" customFormat="1" ht="39" customHeight="1">
      <c r="A2" s="39" t="s">
        <v>52</v>
      </c>
      <c r="B2" s="39" t="s">
        <v>53</v>
      </c>
      <c r="C2" s="40" t="s">
        <v>54</v>
      </c>
      <c r="D2" s="41" t="s">
        <v>55</v>
      </c>
      <c r="E2" s="39" t="s">
        <v>56</v>
      </c>
      <c r="F2" s="41" t="s">
        <v>57</v>
      </c>
      <c r="G2" s="40" t="s">
        <v>58</v>
      </c>
      <c r="H2" s="42" t="s">
        <v>59</v>
      </c>
      <c r="I2" s="42" t="s">
        <v>60</v>
      </c>
      <c r="J2" s="40" t="s">
        <v>61</v>
      </c>
    </row>
    <row r="3" spans="1:10" ht="38.4" customHeight="1">
      <c r="A3" s="43" t="s">
        <v>62</v>
      </c>
      <c r="B3" s="43">
        <v>1</v>
      </c>
      <c r="C3" s="44" t="s">
        <v>63</v>
      </c>
      <c r="D3" s="44" t="s">
        <v>299</v>
      </c>
      <c r="E3" s="44" t="s">
        <v>488</v>
      </c>
      <c r="F3" s="72" t="s">
        <v>434</v>
      </c>
      <c r="G3" s="45" t="s">
        <v>21</v>
      </c>
      <c r="H3" s="46">
        <v>60</v>
      </c>
      <c r="I3" s="46" t="s">
        <v>64</v>
      </c>
      <c r="J3" s="50"/>
    </row>
    <row r="4" spans="1:10" ht="38.4" customHeight="1">
      <c r="A4" s="43" t="s">
        <v>65</v>
      </c>
      <c r="B4" s="43">
        <v>2</v>
      </c>
      <c r="C4" s="44" t="s">
        <v>66</v>
      </c>
      <c r="D4" s="44" t="s">
        <v>300</v>
      </c>
      <c r="E4" s="44" t="s">
        <v>489</v>
      </c>
      <c r="F4" s="72" t="s">
        <v>435</v>
      </c>
      <c r="G4" s="45" t="s">
        <v>21</v>
      </c>
      <c r="H4" s="46">
        <v>60</v>
      </c>
      <c r="I4" s="46" t="s">
        <v>64</v>
      </c>
      <c r="J4" s="50"/>
    </row>
    <row r="5" spans="1:10" ht="38.4" customHeight="1">
      <c r="A5" s="43" t="s">
        <v>67</v>
      </c>
      <c r="B5" s="43">
        <v>3</v>
      </c>
      <c r="C5" s="44" t="s">
        <v>68</v>
      </c>
      <c r="D5" s="44" t="s">
        <v>301</v>
      </c>
      <c r="E5" s="44" t="s">
        <v>490</v>
      </c>
      <c r="F5" s="72" t="s">
        <v>436</v>
      </c>
      <c r="G5" s="45" t="s">
        <v>21</v>
      </c>
      <c r="H5" s="46">
        <v>60</v>
      </c>
      <c r="I5" s="46" t="s">
        <v>64</v>
      </c>
      <c r="J5" s="50"/>
    </row>
    <row r="6" spans="1:10" ht="38.4" customHeight="1">
      <c r="A6" s="43" t="s">
        <v>69</v>
      </c>
      <c r="B6" s="43">
        <v>4</v>
      </c>
      <c r="C6" s="44" t="s">
        <v>70</v>
      </c>
      <c r="D6" s="44" t="s">
        <v>302</v>
      </c>
      <c r="E6" s="44" t="s">
        <v>491</v>
      </c>
      <c r="F6" s="72" t="s">
        <v>437</v>
      </c>
      <c r="G6" s="45" t="s">
        <v>21</v>
      </c>
      <c r="H6" s="46">
        <v>60</v>
      </c>
      <c r="I6" s="46" t="s">
        <v>64</v>
      </c>
      <c r="J6" s="50"/>
    </row>
    <row r="7" spans="1:10" ht="38.4" customHeight="1">
      <c r="A7" s="43" t="s">
        <v>71</v>
      </c>
      <c r="B7" s="43">
        <v>5</v>
      </c>
      <c r="C7" s="44" t="s">
        <v>72</v>
      </c>
      <c r="D7" s="44" t="s">
        <v>303</v>
      </c>
      <c r="E7" s="44" t="s">
        <v>492</v>
      </c>
      <c r="F7" s="72" t="s">
        <v>438</v>
      </c>
      <c r="G7" s="45" t="s">
        <v>21</v>
      </c>
      <c r="H7" s="46">
        <v>60</v>
      </c>
      <c r="I7" s="46" t="s">
        <v>64</v>
      </c>
      <c r="J7" s="50"/>
    </row>
    <row r="8" spans="1:10" ht="38.4" customHeight="1">
      <c r="A8" s="43" t="s">
        <v>73</v>
      </c>
      <c r="B8" s="43">
        <v>6</v>
      </c>
      <c r="C8" s="44" t="s">
        <v>74</v>
      </c>
      <c r="D8" s="44" t="s">
        <v>304</v>
      </c>
      <c r="E8" s="44" t="s">
        <v>493</v>
      </c>
      <c r="F8" s="72" t="s">
        <v>439</v>
      </c>
      <c r="G8" s="45" t="s">
        <v>21</v>
      </c>
      <c r="H8" s="46">
        <v>60</v>
      </c>
      <c r="I8" s="46" t="s">
        <v>64</v>
      </c>
      <c r="J8" s="50"/>
    </row>
    <row r="9" spans="1:10" ht="38.4" customHeight="1">
      <c r="A9" s="43" t="s">
        <v>75</v>
      </c>
      <c r="B9" s="43">
        <v>7</v>
      </c>
      <c r="C9" s="44" t="s">
        <v>76</v>
      </c>
      <c r="D9" s="44" t="s">
        <v>305</v>
      </c>
      <c r="E9" s="44" t="s">
        <v>494</v>
      </c>
      <c r="F9" s="72" t="s">
        <v>440</v>
      </c>
      <c r="G9" s="45" t="s">
        <v>21</v>
      </c>
      <c r="H9" s="46">
        <v>60</v>
      </c>
      <c r="I9" s="46" t="s">
        <v>64</v>
      </c>
      <c r="J9" s="50"/>
    </row>
    <row r="10" spans="1:10" ht="38.4" customHeight="1">
      <c r="A10" s="43" t="s">
        <v>77</v>
      </c>
      <c r="B10" s="43">
        <v>8</v>
      </c>
      <c r="C10" s="44" t="s">
        <v>78</v>
      </c>
      <c r="D10" s="44" t="s">
        <v>306</v>
      </c>
      <c r="E10" s="44" t="s">
        <v>495</v>
      </c>
      <c r="F10" s="72" t="s">
        <v>441</v>
      </c>
      <c r="G10" s="45" t="s">
        <v>21</v>
      </c>
      <c r="H10" s="46">
        <v>60</v>
      </c>
      <c r="I10" s="46" t="s">
        <v>64</v>
      </c>
      <c r="J10" s="50"/>
    </row>
    <row r="11" spans="1:10" ht="38.4" customHeight="1">
      <c r="A11" s="43" t="s">
        <v>79</v>
      </c>
      <c r="B11" s="43">
        <v>9</v>
      </c>
      <c r="C11" s="44" t="s">
        <v>80</v>
      </c>
      <c r="D11" s="44" t="s">
        <v>307</v>
      </c>
      <c r="E11" s="44" t="s">
        <v>496</v>
      </c>
      <c r="F11" s="72" t="s">
        <v>442</v>
      </c>
      <c r="G11" s="45" t="s">
        <v>21</v>
      </c>
      <c r="H11" s="46">
        <v>60</v>
      </c>
      <c r="I11" s="46" t="s">
        <v>64</v>
      </c>
      <c r="J11" s="50"/>
    </row>
    <row r="12" spans="1:10" ht="38.4" customHeight="1">
      <c r="A12" s="43" t="s">
        <v>81</v>
      </c>
      <c r="B12" s="43">
        <v>10</v>
      </c>
      <c r="C12" s="44" t="s">
        <v>82</v>
      </c>
      <c r="D12" s="44" t="s">
        <v>308</v>
      </c>
      <c r="E12" s="44" t="s">
        <v>492</v>
      </c>
      <c r="F12" s="72" t="s">
        <v>443</v>
      </c>
      <c r="G12" s="45" t="s">
        <v>21</v>
      </c>
      <c r="H12" s="46">
        <v>60</v>
      </c>
      <c r="I12" s="46" t="s">
        <v>64</v>
      </c>
      <c r="J12" s="50"/>
    </row>
    <row r="13" spans="1:10" ht="38.4" customHeight="1">
      <c r="A13" s="43" t="s">
        <v>83</v>
      </c>
      <c r="B13" s="43">
        <v>11</v>
      </c>
      <c r="C13" s="44" t="s">
        <v>84</v>
      </c>
      <c r="D13" s="44" t="s">
        <v>309</v>
      </c>
      <c r="E13" s="44" t="s">
        <v>497</v>
      </c>
      <c r="F13" s="72" t="s">
        <v>444</v>
      </c>
      <c r="G13" s="45" t="s">
        <v>21</v>
      </c>
      <c r="H13" s="46">
        <v>60</v>
      </c>
      <c r="I13" s="46" t="s">
        <v>64</v>
      </c>
      <c r="J13" s="50"/>
    </row>
    <row r="14" spans="1:10" ht="38.4" customHeight="1">
      <c r="A14" s="43" t="s">
        <v>85</v>
      </c>
      <c r="B14" s="43">
        <v>12</v>
      </c>
      <c r="C14" s="44" t="s">
        <v>86</v>
      </c>
      <c r="D14" s="44" t="s">
        <v>310</v>
      </c>
      <c r="E14" s="44" t="s">
        <v>498</v>
      </c>
      <c r="F14" s="72" t="s">
        <v>445</v>
      </c>
      <c r="G14" s="45" t="s">
        <v>21</v>
      </c>
      <c r="H14" s="46">
        <v>60</v>
      </c>
      <c r="I14" s="46" t="s">
        <v>64</v>
      </c>
      <c r="J14" s="50"/>
    </row>
    <row r="15" spans="1:10" ht="38.4" customHeight="1">
      <c r="A15" s="43" t="s">
        <v>87</v>
      </c>
      <c r="B15" s="43">
        <v>13</v>
      </c>
      <c r="C15" s="44" t="s">
        <v>88</v>
      </c>
      <c r="D15" s="44" t="s">
        <v>311</v>
      </c>
      <c r="E15" s="44" t="s">
        <v>499</v>
      </c>
      <c r="F15" s="72" t="s">
        <v>446</v>
      </c>
      <c r="G15" s="45" t="s">
        <v>21</v>
      </c>
      <c r="H15" s="46">
        <v>60</v>
      </c>
      <c r="I15" s="46" t="s">
        <v>64</v>
      </c>
      <c r="J15" s="50"/>
    </row>
    <row r="16" spans="1:10" ht="38.4" customHeight="1">
      <c r="A16" s="43" t="s">
        <v>89</v>
      </c>
      <c r="B16" s="43">
        <v>14</v>
      </c>
      <c r="C16" s="44" t="s">
        <v>90</v>
      </c>
      <c r="D16" s="44" t="s">
        <v>312</v>
      </c>
      <c r="E16" s="44" t="s">
        <v>500</v>
      </c>
      <c r="F16" s="72" t="s">
        <v>447</v>
      </c>
      <c r="G16" s="45" t="s">
        <v>21</v>
      </c>
      <c r="H16" s="46">
        <v>60</v>
      </c>
      <c r="I16" s="46" t="s">
        <v>64</v>
      </c>
      <c r="J16" s="50"/>
    </row>
    <row r="17" spans="1:10" ht="38.4" customHeight="1">
      <c r="A17" s="43" t="s">
        <v>91</v>
      </c>
      <c r="B17" s="43">
        <v>15</v>
      </c>
      <c r="C17" s="44" t="s">
        <v>92</v>
      </c>
      <c r="D17" s="44" t="s">
        <v>313</v>
      </c>
      <c r="E17" s="44" t="s">
        <v>492</v>
      </c>
      <c r="F17" s="72" t="s">
        <v>448</v>
      </c>
      <c r="G17" s="45" t="s">
        <v>21</v>
      </c>
      <c r="H17" s="46">
        <v>60</v>
      </c>
      <c r="I17" s="46" t="s">
        <v>64</v>
      </c>
      <c r="J17" s="50"/>
    </row>
    <row r="18" spans="1:10" ht="38.4" customHeight="1">
      <c r="A18" s="43" t="s">
        <v>93</v>
      </c>
      <c r="B18" s="43">
        <v>16</v>
      </c>
      <c r="C18" s="44" t="s">
        <v>94</v>
      </c>
      <c r="D18" s="44" t="s">
        <v>314</v>
      </c>
      <c r="E18" s="44" t="s">
        <v>501</v>
      </c>
      <c r="F18" s="72" t="s">
        <v>449</v>
      </c>
      <c r="G18" s="45" t="s">
        <v>21</v>
      </c>
      <c r="H18" s="46">
        <v>60</v>
      </c>
      <c r="I18" s="46" t="s">
        <v>64</v>
      </c>
      <c r="J18" s="50"/>
    </row>
    <row r="19" spans="1:10" ht="38.4" customHeight="1">
      <c r="A19" s="43" t="s">
        <v>95</v>
      </c>
      <c r="B19" s="43">
        <v>17</v>
      </c>
      <c r="C19" s="44" t="s">
        <v>96</v>
      </c>
      <c r="D19" s="44" t="s">
        <v>315</v>
      </c>
      <c r="E19" s="44" t="s">
        <v>502</v>
      </c>
      <c r="F19" s="72" t="s">
        <v>450</v>
      </c>
      <c r="G19" s="45" t="s">
        <v>21</v>
      </c>
      <c r="H19" s="46">
        <v>60</v>
      </c>
      <c r="I19" s="46" t="s">
        <v>64</v>
      </c>
      <c r="J19" s="50"/>
    </row>
    <row r="20" spans="1:10" ht="38.4" customHeight="1">
      <c r="A20" s="43" t="s">
        <v>97</v>
      </c>
      <c r="B20" s="43">
        <v>18</v>
      </c>
      <c r="C20" s="44" t="s">
        <v>98</v>
      </c>
      <c r="D20" s="44" t="s">
        <v>316</v>
      </c>
      <c r="E20" s="44" t="s">
        <v>503</v>
      </c>
      <c r="F20" s="72" t="s">
        <v>451</v>
      </c>
      <c r="G20" s="45" t="s">
        <v>21</v>
      </c>
      <c r="H20" s="46">
        <v>60</v>
      </c>
      <c r="I20" s="46" t="s">
        <v>64</v>
      </c>
      <c r="J20" s="50"/>
    </row>
    <row r="21" spans="1:10" ht="38.4" customHeight="1">
      <c r="A21" s="43" t="s">
        <v>99</v>
      </c>
      <c r="B21" s="43">
        <v>19</v>
      </c>
      <c r="C21" s="44" t="s">
        <v>100</v>
      </c>
      <c r="D21" s="44" t="s">
        <v>317</v>
      </c>
      <c r="E21" s="44" t="s">
        <v>504</v>
      </c>
      <c r="F21" s="72" t="s">
        <v>452</v>
      </c>
      <c r="G21" s="45" t="s">
        <v>21</v>
      </c>
      <c r="H21" s="46">
        <v>60</v>
      </c>
      <c r="I21" s="46" t="s">
        <v>64</v>
      </c>
      <c r="J21" s="50"/>
    </row>
    <row r="22" spans="1:10" ht="38.4" customHeight="1">
      <c r="A22" s="43" t="s">
        <v>101</v>
      </c>
      <c r="B22" s="43">
        <v>20</v>
      </c>
      <c r="C22" s="44" t="s">
        <v>102</v>
      </c>
      <c r="D22" s="44" t="s">
        <v>318</v>
      </c>
      <c r="E22" s="44" t="s">
        <v>505</v>
      </c>
      <c r="F22" s="72" t="s">
        <v>453</v>
      </c>
      <c r="G22" s="45" t="s">
        <v>29</v>
      </c>
      <c r="H22" s="46">
        <v>60</v>
      </c>
      <c r="I22" s="46" t="s">
        <v>64</v>
      </c>
      <c r="J22" s="50"/>
    </row>
    <row r="23" spans="1:10" ht="38.4" customHeight="1">
      <c r="A23" s="43" t="s">
        <v>319</v>
      </c>
      <c r="B23" s="43">
        <v>21</v>
      </c>
      <c r="C23" s="44" t="s">
        <v>359</v>
      </c>
      <c r="D23" s="44" t="s">
        <v>399</v>
      </c>
      <c r="E23" s="44" t="s">
        <v>506</v>
      </c>
      <c r="F23" s="72" t="s">
        <v>454</v>
      </c>
      <c r="G23" s="45" t="s">
        <v>21</v>
      </c>
      <c r="H23" s="46">
        <v>60</v>
      </c>
      <c r="I23" s="46" t="s">
        <v>64</v>
      </c>
      <c r="J23" s="50"/>
    </row>
    <row r="24" spans="1:10" ht="38.4" customHeight="1">
      <c r="A24" s="43" t="s">
        <v>320</v>
      </c>
      <c r="B24" s="43">
        <v>22</v>
      </c>
      <c r="C24" s="44" t="s">
        <v>360</v>
      </c>
      <c r="D24" s="44" t="s">
        <v>400</v>
      </c>
      <c r="E24" s="44" t="s">
        <v>507</v>
      </c>
      <c r="F24" s="72" t="s">
        <v>455</v>
      </c>
      <c r="G24" s="45" t="s">
        <v>21</v>
      </c>
      <c r="H24" s="46">
        <v>60</v>
      </c>
      <c r="I24" s="46" t="s">
        <v>64</v>
      </c>
      <c r="J24" s="50"/>
    </row>
    <row r="25" spans="1:10" ht="38.4" customHeight="1">
      <c r="A25" s="43" t="s">
        <v>321</v>
      </c>
      <c r="B25" s="43">
        <v>23</v>
      </c>
      <c r="C25" s="44" t="s">
        <v>361</v>
      </c>
      <c r="D25" s="44" t="s">
        <v>401</v>
      </c>
      <c r="E25" s="44" t="s">
        <v>508</v>
      </c>
      <c r="F25" s="72" t="s">
        <v>456</v>
      </c>
      <c r="G25" s="45" t="s">
        <v>21</v>
      </c>
      <c r="H25" s="46">
        <v>60</v>
      </c>
      <c r="I25" s="46" t="s">
        <v>64</v>
      </c>
      <c r="J25" s="50"/>
    </row>
    <row r="26" spans="1:10" ht="38.4" customHeight="1">
      <c r="A26" s="43" t="s">
        <v>322</v>
      </c>
      <c r="B26" s="43">
        <v>24</v>
      </c>
      <c r="C26" s="44" t="s">
        <v>362</v>
      </c>
      <c r="D26" s="44" t="s">
        <v>402</v>
      </c>
      <c r="E26" s="44" t="s">
        <v>509</v>
      </c>
      <c r="F26" s="72" t="s">
        <v>457</v>
      </c>
      <c r="G26" s="45" t="s">
        <v>21</v>
      </c>
      <c r="H26" s="46">
        <v>60</v>
      </c>
      <c r="I26" s="46" t="s">
        <v>64</v>
      </c>
      <c r="J26" s="50"/>
    </row>
    <row r="27" spans="1:10" ht="38.4" customHeight="1">
      <c r="A27" s="43" t="s">
        <v>323</v>
      </c>
      <c r="B27" s="43">
        <v>25</v>
      </c>
      <c r="C27" s="44" t="s">
        <v>363</v>
      </c>
      <c r="D27" s="44" t="s">
        <v>403</v>
      </c>
      <c r="E27" s="44" t="s">
        <v>510</v>
      </c>
      <c r="F27" s="72" t="s">
        <v>458</v>
      </c>
      <c r="G27" s="45" t="s">
        <v>21</v>
      </c>
      <c r="H27" s="46">
        <v>60</v>
      </c>
      <c r="I27" s="46" t="s">
        <v>64</v>
      </c>
      <c r="J27" s="50"/>
    </row>
    <row r="28" spans="1:10" ht="38.4" customHeight="1">
      <c r="A28" s="43" t="s">
        <v>324</v>
      </c>
      <c r="B28" s="43">
        <v>26</v>
      </c>
      <c r="C28" s="44" t="s">
        <v>364</v>
      </c>
      <c r="D28" s="44" t="s">
        <v>404</v>
      </c>
      <c r="E28" s="44" t="s">
        <v>511</v>
      </c>
      <c r="F28" s="72" t="s">
        <v>459</v>
      </c>
      <c r="G28" s="45" t="s">
        <v>21</v>
      </c>
      <c r="H28" s="46">
        <v>60</v>
      </c>
      <c r="I28" s="46" t="s">
        <v>64</v>
      </c>
      <c r="J28" s="50"/>
    </row>
    <row r="29" spans="1:10" ht="38.4" customHeight="1">
      <c r="A29" s="43" t="s">
        <v>325</v>
      </c>
      <c r="B29" s="43">
        <v>27</v>
      </c>
      <c r="C29" s="44" t="s">
        <v>365</v>
      </c>
      <c r="D29" s="44" t="s">
        <v>405</v>
      </c>
      <c r="E29" s="44" t="s">
        <v>512</v>
      </c>
      <c r="F29" s="72" t="s">
        <v>460</v>
      </c>
      <c r="G29" s="45" t="s">
        <v>21</v>
      </c>
      <c r="H29" s="46">
        <v>60</v>
      </c>
      <c r="I29" s="46" t="s">
        <v>64</v>
      </c>
      <c r="J29" s="50"/>
    </row>
    <row r="30" spans="1:10" ht="38.4" customHeight="1">
      <c r="A30" s="43" t="s">
        <v>326</v>
      </c>
      <c r="B30" s="43">
        <v>28</v>
      </c>
      <c r="C30" s="44" t="s">
        <v>366</v>
      </c>
      <c r="D30" s="44" t="s">
        <v>406</v>
      </c>
      <c r="E30" s="44" t="s">
        <v>513</v>
      </c>
      <c r="F30" s="72" t="s">
        <v>461</v>
      </c>
      <c r="G30" s="45" t="s">
        <v>21</v>
      </c>
      <c r="H30" s="46">
        <v>60</v>
      </c>
      <c r="I30" s="46" t="s">
        <v>64</v>
      </c>
      <c r="J30" s="50"/>
    </row>
    <row r="31" spans="1:10" ht="38.4" customHeight="1">
      <c r="A31" s="43" t="s">
        <v>327</v>
      </c>
      <c r="B31" s="43">
        <v>29</v>
      </c>
      <c r="C31" s="44" t="s">
        <v>367</v>
      </c>
      <c r="D31" s="44" t="s">
        <v>407</v>
      </c>
      <c r="E31" s="44" t="s">
        <v>514</v>
      </c>
      <c r="F31" s="72" t="s">
        <v>462</v>
      </c>
      <c r="G31" s="45" t="s">
        <v>21</v>
      </c>
      <c r="H31" s="46">
        <v>60</v>
      </c>
      <c r="I31" s="46" t="s">
        <v>64</v>
      </c>
      <c r="J31" s="50"/>
    </row>
    <row r="32" spans="1:10" ht="38.4" customHeight="1">
      <c r="A32" s="43" t="s">
        <v>328</v>
      </c>
      <c r="B32" s="43">
        <v>30</v>
      </c>
      <c r="C32" s="44" t="s">
        <v>368</v>
      </c>
      <c r="D32" s="44" t="s">
        <v>408</v>
      </c>
      <c r="E32" s="44" t="s">
        <v>515</v>
      </c>
      <c r="F32" s="72" t="s">
        <v>458</v>
      </c>
      <c r="G32" s="45" t="s">
        <v>21</v>
      </c>
      <c r="H32" s="46">
        <v>60</v>
      </c>
      <c r="I32" s="46" t="s">
        <v>64</v>
      </c>
      <c r="J32" s="50"/>
    </row>
    <row r="33" spans="1:10" ht="38.4" customHeight="1">
      <c r="A33" s="43" t="s">
        <v>329</v>
      </c>
      <c r="B33" s="43">
        <v>31</v>
      </c>
      <c r="C33" s="44" t="s">
        <v>369</v>
      </c>
      <c r="D33" s="44" t="s">
        <v>409</v>
      </c>
      <c r="E33" s="44" t="s">
        <v>516</v>
      </c>
      <c r="F33" s="72" t="s">
        <v>463</v>
      </c>
      <c r="G33" s="45" t="s">
        <v>21</v>
      </c>
      <c r="H33" s="46">
        <v>60</v>
      </c>
      <c r="I33" s="46" t="s">
        <v>64</v>
      </c>
      <c r="J33" s="50"/>
    </row>
    <row r="34" spans="1:10" ht="38.4" customHeight="1">
      <c r="A34" s="43" t="s">
        <v>330</v>
      </c>
      <c r="B34" s="43">
        <v>32</v>
      </c>
      <c r="C34" s="44" t="s">
        <v>370</v>
      </c>
      <c r="D34" s="44" t="s">
        <v>410</v>
      </c>
      <c r="E34" s="44" t="s">
        <v>517</v>
      </c>
      <c r="F34" s="72" t="s">
        <v>464</v>
      </c>
      <c r="G34" s="45" t="s">
        <v>21</v>
      </c>
      <c r="H34" s="46">
        <v>60</v>
      </c>
      <c r="I34" s="46" t="s">
        <v>64</v>
      </c>
      <c r="J34" s="50"/>
    </row>
    <row r="35" spans="1:10" ht="38.4" customHeight="1">
      <c r="A35" s="43" t="s">
        <v>331</v>
      </c>
      <c r="B35" s="43">
        <v>33</v>
      </c>
      <c r="C35" s="44" t="s">
        <v>371</v>
      </c>
      <c r="D35" s="44" t="s">
        <v>411</v>
      </c>
      <c r="E35" s="44" t="s">
        <v>518</v>
      </c>
      <c r="F35" s="72" t="s">
        <v>465</v>
      </c>
      <c r="G35" s="45" t="s">
        <v>21</v>
      </c>
      <c r="H35" s="46">
        <v>60</v>
      </c>
      <c r="I35" s="46" t="s">
        <v>64</v>
      </c>
      <c r="J35" s="50"/>
    </row>
    <row r="36" spans="1:10" ht="38.4" customHeight="1">
      <c r="A36" s="43" t="s">
        <v>332</v>
      </c>
      <c r="B36" s="43">
        <v>34</v>
      </c>
      <c r="C36" s="44" t="s">
        <v>372</v>
      </c>
      <c r="D36" s="44" t="s">
        <v>412</v>
      </c>
      <c r="E36" s="44" t="s">
        <v>519</v>
      </c>
      <c r="F36" s="72" t="s">
        <v>466</v>
      </c>
      <c r="G36" s="45" t="s">
        <v>21</v>
      </c>
      <c r="H36" s="46">
        <v>60</v>
      </c>
      <c r="I36" s="46" t="s">
        <v>64</v>
      </c>
      <c r="J36" s="50"/>
    </row>
    <row r="37" spans="1:10" ht="38.4" customHeight="1">
      <c r="A37" s="43" t="s">
        <v>333</v>
      </c>
      <c r="B37" s="43">
        <v>35</v>
      </c>
      <c r="C37" s="44" t="s">
        <v>373</v>
      </c>
      <c r="D37" s="44" t="s">
        <v>413</v>
      </c>
      <c r="E37" s="44" t="s">
        <v>520</v>
      </c>
      <c r="F37" s="72" t="s">
        <v>458</v>
      </c>
      <c r="G37" s="45" t="s">
        <v>21</v>
      </c>
      <c r="H37" s="46">
        <v>60</v>
      </c>
      <c r="I37" s="46" t="s">
        <v>64</v>
      </c>
      <c r="J37" s="50"/>
    </row>
    <row r="38" spans="1:10" ht="38.4" customHeight="1">
      <c r="A38" s="43" t="s">
        <v>334</v>
      </c>
      <c r="B38" s="43">
        <v>36</v>
      </c>
      <c r="C38" s="44" t="s">
        <v>374</v>
      </c>
      <c r="D38" s="44" t="s">
        <v>414</v>
      </c>
      <c r="E38" s="44" t="s">
        <v>521</v>
      </c>
      <c r="F38" s="72" t="s">
        <v>467</v>
      </c>
      <c r="G38" s="45" t="s">
        <v>21</v>
      </c>
      <c r="H38" s="46">
        <v>60</v>
      </c>
      <c r="I38" s="46" t="s">
        <v>64</v>
      </c>
      <c r="J38" s="50"/>
    </row>
    <row r="39" spans="1:10" ht="38.4" customHeight="1">
      <c r="A39" s="43" t="s">
        <v>335</v>
      </c>
      <c r="B39" s="43">
        <v>37</v>
      </c>
      <c r="C39" s="44" t="s">
        <v>375</v>
      </c>
      <c r="D39" s="44" t="s">
        <v>415</v>
      </c>
      <c r="E39" s="44" t="s">
        <v>522</v>
      </c>
      <c r="F39" s="72" t="s">
        <v>468</v>
      </c>
      <c r="G39" s="45" t="s">
        <v>21</v>
      </c>
      <c r="H39" s="46">
        <v>60</v>
      </c>
      <c r="I39" s="46" t="s">
        <v>64</v>
      </c>
      <c r="J39" s="50"/>
    </row>
    <row r="40" spans="1:10" ht="38.4" customHeight="1">
      <c r="A40" s="43" t="s">
        <v>336</v>
      </c>
      <c r="B40" s="43">
        <v>38</v>
      </c>
      <c r="C40" s="44" t="s">
        <v>376</v>
      </c>
      <c r="D40" s="44" t="s">
        <v>416</v>
      </c>
      <c r="E40" s="44" t="s">
        <v>523</v>
      </c>
      <c r="F40" s="72" t="s">
        <v>469</v>
      </c>
      <c r="G40" s="45" t="s">
        <v>21</v>
      </c>
      <c r="H40" s="46">
        <v>60</v>
      </c>
      <c r="I40" s="46" t="s">
        <v>64</v>
      </c>
      <c r="J40" s="50"/>
    </row>
    <row r="41" spans="1:10" ht="38.4" customHeight="1">
      <c r="A41" s="43" t="s">
        <v>337</v>
      </c>
      <c r="B41" s="43">
        <v>39</v>
      </c>
      <c r="C41" s="44" t="s">
        <v>377</v>
      </c>
      <c r="D41" s="44" t="s">
        <v>417</v>
      </c>
      <c r="E41" s="44" t="s">
        <v>524</v>
      </c>
      <c r="F41" s="72" t="s">
        <v>470</v>
      </c>
      <c r="G41" s="45" t="s">
        <v>21</v>
      </c>
      <c r="H41" s="46">
        <v>60</v>
      </c>
      <c r="I41" s="46" t="s">
        <v>64</v>
      </c>
      <c r="J41" s="50"/>
    </row>
    <row r="42" spans="1:10" ht="38.4" customHeight="1">
      <c r="A42" s="43" t="s">
        <v>338</v>
      </c>
      <c r="B42" s="43">
        <v>40</v>
      </c>
      <c r="C42" s="44" t="s">
        <v>378</v>
      </c>
      <c r="D42" s="44" t="s">
        <v>318</v>
      </c>
      <c r="E42" s="44" t="s">
        <v>525</v>
      </c>
      <c r="F42" s="72" t="s">
        <v>471</v>
      </c>
      <c r="G42" s="45" t="s">
        <v>29</v>
      </c>
      <c r="H42" s="46">
        <v>60</v>
      </c>
      <c r="I42" s="46" t="s">
        <v>64</v>
      </c>
      <c r="J42" s="50"/>
    </row>
    <row r="43" spans="1:10" ht="38.4" customHeight="1">
      <c r="A43" s="43" t="s">
        <v>339</v>
      </c>
      <c r="B43" s="43">
        <v>41</v>
      </c>
      <c r="C43" s="44" t="s">
        <v>379</v>
      </c>
      <c r="D43" s="44" t="s">
        <v>418</v>
      </c>
      <c r="E43" s="44" t="s">
        <v>526</v>
      </c>
      <c r="F43" s="72" t="s">
        <v>472</v>
      </c>
      <c r="G43" s="45" t="s">
        <v>21</v>
      </c>
      <c r="H43" s="46">
        <v>60</v>
      </c>
      <c r="I43" s="46" t="s">
        <v>64</v>
      </c>
      <c r="J43" s="50"/>
    </row>
    <row r="44" spans="1:10" ht="38.4" customHeight="1">
      <c r="A44" s="43" t="s">
        <v>340</v>
      </c>
      <c r="B44" s="43">
        <v>42</v>
      </c>
      <c r="C44" s="44" t="s">
        <v>380</v>
      </c>
      <c r="D44" s="44" t="s">
        <v>419</v>
      </c>
      <c r="E44" s="44" t="s">
        <v>527</v>
      </c>
      <c r="F44" s="72" t="s">
        <v>473</v>
      </c>
      <c r="G44" s="45" t="s">
        <v>21</v>
      </c>
      <c r="H44" s="46">
        <v>60</v>
      </c>
      <c r="I44" s="46" t="s">
        <v>64</v>
      </c>
      <c r="J44" s="50"/>
    </row>
    <row r="45" spans="1:10" ht="38.4" customHeight="1">
      <c r="A45" s="43" t="s">
        <v>341</v>
      </c>
      <c r="B45" s="43">
        <v>43</v>
      </c>
      <c r="C45" s="44" t="s">
        <v>381</v>
      </c>
      <c r="D45" s="44" t="s">
        <v>420</v>
      </c>
      <c r="E45" s="44" t="s">
        <v>528</v>
      </c>
      <c r="F45" s="72" t="s">
        <v>474</v>
      </c>
      <c r="G45" s="45" t="s">
        <v>21</v>
      </c>
      <c r="H45" s="46">
        <v>60</v>
      </c>
      <c r="I45" s="46" t="s">
        <v>64</v>
      </c>
      <c r="J45" s="50"/>
    </row>
    <row r="46" spans="1:10" ht="38.4" customHeight="1">
      <c r="A46" s="43" t="s">
        <v>342</v>
      </c>
      <c r="B46" s="43">
        <v>44</v>
      </c>
      <c r="C46" s="44" t="s">
        <v>382</v>
      </c>
      <c r="D46" s="44" t="s">
        <v>421</v>
      </c>
      <c r="E46" s="44" t="s">
        <v>529</v>
      </c>
      <c r="F46" s="72" t="s">
        <v>475</v>
      </c>
      <c r="G46" s="45" t="s">
        <v>21</v>
      </c>
      <c r="H46" s="46">
        <v>60</v>
      </c>
      <c r="I46" s="46" t="s">
        <v>64</v>
      </c>
      <c r="J46" s="50"/>
    </row>
    <row r="47" spans="1:10" ht="38.4" customHeight="1">
      <c r="A47" s="43" t="s">
        <v>343</v>
      </c>
      <c r="B47" s="43">
        <v>45</v>
      </c>
      <c r="C47" s="44" t="s">
        <v>383</v>
      </c>
      <c r="D47" s="44" t="s">
        <v>303</v>
      </c>
      <c r="E47" s="44" t="s">
        <v>530</v>
      </c>
      <c r="F47" s="72" t="s">
        <v>438</v>
      </c>
      <c r="G47" s="45" t="s">
        <v>21</v>
      </c>
      <c r="H47" s="46">
        <v>60</v>
      </c>
      <c r="I47" s="46" t="s">
        <v>64</v>
      </c>
      <c r="J47" s="50"/>
    </row>
    <row r="48" spans="1:10" ht="38.4" customHeight="1">
      <c r="A48" s="43" t="s">
        <v>344</v>
      </c>
      <c r="B48" s="43">
        <v>46</v>
      </c>
      <c r="C48" s="44" t="s">
        <v>384</v>
      </c>
      <c r="D48" s="44" t="s">
        <v>422</v>
      </c>
      <c r="E48" s="44" t="s">
        <v>531</v>
      </c>
      <c r="F48" s="72" t="s">
        <v>476</v>
      </c>
      <c r="G48" s="45" t="s">
        <v>21</v>
      </c>
      <c r="H48" s="46">
        <v>60</v>
      </c>
      <c r="I48" s="46" t="s">
        <v>64</v>
      </c>
      <c r="J48" s="50"/>
    </row>
    <row r="49" spans="1:10" ht="38.4" customHeight="1">
      <c r="A49" s="43" t="s">
        <v>345</v>
      </c>
      <c r="B49" s="43">
        <v>47</v>
      </c>
      <c r="C49" s="44" t="s">
        <v>385</v>
      </c>
      <c r="D49" s="44" t="s">
        <v>423</v>
      </c>
      <c r="E49" s="44" t="s">
        <v>532</v>
      </c>
      <c r="F49" s="72" t="s">
        <v>477</v>
      </c>
      <c r="G49" s="45" t="s">
        <v>21</v>
      </c>
      <c r="H49" s="46">
        <v>60</v>
      </c>
      <c r="I49" s="46" t="s">
        <v>64</v>
      </c>
      <c r="J49" s="50"/>
    </row>
    <row r="50" spans="1:10" ht="38.4" customHeight="1">
      <c r="A50" s="43" t="s">
        <v>346</v>
      </c>
      <c r="B50" s="43">
        <v>48</v>
      </c>
      <c r="C50" s="44" t="s">
        <v>386</v>
      </c>
      <c r="D50" s="44" t="s">
        <v>424</v>
      </c>
      <c r="E50" s="44" t="s">
        <v>533</v>
      </c>
      <c r="F50" s="72" t="s">
        <v>478</v>
      </c>
      <c r="G50" s="45" t="s">
        <v>21</v>
      </c>
      <c r="H50" s="46">
        <v>60</v>
      </c>
      <c r="I50" s="46" t="s">
        <v>64</v>
      </c>
      <c r="J50" s="50"/>
    </row>
    <row r="51" spans="1:10" ht="38.4" customHeight="1">
      <c r="A51" s="43" t="s">
        <v>347</v>
      </c>
      <c r="B51" s="43">
        <v>49</v>
      </c>
      <c r="C51" s="44" t="s">
        <v>387</v>
      </c>
      <c r="D51" s="44" t="s">
        <v>425</v>
      </c>
      <c r="E51" s="44" t="s">
        <v>534</v>
      </c>
      <c r="F51" s="72" t="s">
        <v>479</v>
      </c>
      <c r="G51" s="45" t="s">
        <v>21</v>
      </c>
      <c r="H51" s="46">
        <v>60</v>
      </c>
      <c r="I51" s="46" t="s">
        <v>64</v>
      </c>
      <c r="J51" s="50"/>
    </row>
    <row r="52" spans="1:10" ht="38.4" customHeight="1">
      <c r="A52" s="43" t="s">
        <v>348</v>
      </c>
      <c r="B52" s="43">
        <v>50</v>
      </c>
      <c r="C52" s="44" t="s">
        <v>388</v>
      </c>
      <c r="D52" s="44" t="s">
        <v>308</v>
      </c>
      <c r="E52" s="44" t="s">
        <v>530</v>
      </c>
      <c r="F52" s="72" t="s">
        <v>443</v>
      </c>
      <c r="G52" s="45" t="s">
        <v>21</v>
      </c>
      <c r="H52" s="46">
        <v>60</v>
      </c>
      <c r="I52" s="46" t="s">
        <v>64</v>
      </c>
      <c r="J52" s="50"/>
    </row>
    <row r="53" spans="1:10" ht="38.4" customHeight="1">
      <c r="A53" s="43" t="s">
        <v>349</v>
      </c>
      <c r="B53" s="43">
        <v>51</v>
      </c>
      <c r="C53" s="44" t="s">
        <v>389</v>
      </c>
      <c r="D53" s="44" t="s">
        <v>426</v>
      </c>
      <c r="E53" s="44" t="s">
        <v>535</v>
      </c>
      <c r="F53" s="72" t="s">
        <v>480</v>
      </c>
      <c r="G53" s="45" t="s">
        <v>21</v>
      </c>
      <c r="H53" s="46">
        <v>60</v>
      </c>
      <c r="I53" s="46" t="s">
        <v>64</v>
      </c>
      <c r="J53" s="50"/>
    </row>
    <row r="54" spans="1:10" ht="38.4" customHeight="1">
      <c r="A54" s="43" t="s">
        <v>350</v>
      </c>
      <c r="B54" s="43">
        <v>52</v>
      </c>
      <c r="C54" s="44" t="s">
        <v>390</v>
      </c>
      <c r="D54" s="44" t="s">
        <v>427</v>
      </c>
      <c r="E54" s="44" t="s">
        <v>536</v>
      </c>
      <c r="F54" s="72" t="s">
        <v>481</v>
      </c>
      <c r="G54" s="45" t="s">
        <v>21</v>
      </c>
      <c r="H54" s="46">
        <v>60</v>
      </c>
      <c r="I54" s="46" t="s">
        <v>64</v>
      </c>
      <c r="J54" s="50"/>
    </row>
    <row r="55" spans="1:10" ht="38.4" customHeight="1">
      <c r="A55" s="43" t="s">
        <v>351</v>
      </c>
      <c r="B55" s="43">
        <v>53</v>
      </c>
      <c r="C55" s="44" t="s">
        <v>391</v>
      </c>
      <c r="D55" s="44" t="s">
        <v>428</v>
      </c>
      <c r="E55" s="44" t="s">
        <v>537</v>
      </c>
      <c r="F55" s="72" t="s">
        <v>482</v>
      </c>
      <c r="G55" s="45" t="s">
        <v>21</v>
      </c>
      <c r="H55" s="46">
        <v>60</v>
      </c>
      <c r="I55" s="46" t="s">
        <v>64</v>
      </c>
      <c r="J55" s="50"/>
    </row>
    <row r="56" spans="1:10" ht="38.4" customHeight="1">
      <c r="A56" s="43" t="s">
        <v>352</v>
      </c>
      <c r="B56" s="43">
        <v>54</v>
      </c>
      <c r="C56" s="44" t="s">
        <v>392</v>
      </c>
      <c r="D56" s="44" t="s">
        <v>429</v>
      </c>
      <c r="E56" s="44" t="s">
        <v>538</v>
      </c>
      <c r="F56" s="72" t="s">
        <v>483</v>
      </c>
      <c r="G56" s="45" t="s">
        <v>21</v>
      </c>
      <c r="H56" s="46">
        <v>60</v>
      </c>
      <c r="I56" s="46" t="s">
        <v>64</v>
      </c>
      <c r="J56" s="50"/>
    </row>
    <row r="57" spans="1:10" ht="38.4" customHeight="1">
      <c r="A57" s="43" t="s">
        <v>353</v>
      </c>
      <c r="B57" s="43">
        <v>55</v>
      </c>
      <c r="C57" s="44" t="s">
        <v>393</v>
      </c>
      <c r="D57" s="44" t="s">
        <v>313</v>
      </c>
      <c r="E57" s="44" t="s">
        <v>530</v>
      </c>
      <c r="F57" s="72" t="s">
        <v>448</v>
      </c>
      <c r="G57" s="45" t="s">
        <v>21</v>
      </c>
      <c r="H57" s="46">
        <v>60</v>
      </c>
      <c r="I57" s="46" t="s">
        <v>64</v>
      </c>
      <c r="J57" s="50"/>
    </row>
    <row r="58" spans="1:10" ht="38.4" customHeight="1">
      <c r="A58" s="43" t="s">
        <v>354</v>
      </c>
      <c r="B58" s="43">
        <v>56</v>
      </c>
      <c r="C58" s="44" t="s">
        <v>394</v>
      </c>
      <c r="D58" s="44" t="s">
        <v>430</v>
      </c>
      <c r="E58" s="44" t="s">
        <v>539</v>
      </c>
      <c r="F58" s="72" t="s">
        <v>484</v>
      </c>
      <c r="G58" s="45" t="s">
        <v>21</v>
      </c>
      <c r="H58" s="46">
        <v>60</v>
      </c>
      <c r="I58" s="46" t="s">
        <v>64</v>
      </c>
      <c r="J58" s="50"/>
    </row>
    <row r="59" spans="1:10" ht="38.4" customHeight="1">
      <c r="A59" s="43" t="s">
        <v>355</v>
      </c>
      <c r="B59" s="43">
        <v>57</v>
      </c>
      <c r="C59" s="44" t="s">
        <v>395</v>
      </c>
      <c r="D59" s="44" t="s">
        <v>431</v>
      </c>
      <c r="E59" s="44" t="s">
        <v>540</v>
      </c>
      <c r="F59" s="72" t="s">
        <v>485</v>
      </c>
      <c r="G59" s="45" t="s">
        <v>21</v>
      </c>
      <c r="H59" s="46">
        <v>60</v>
      </c>
      <c r="I59" s="46" t="s">
        <v>64</v>
      </c>
      <c r="J59" s="50"/>
    </row>
    <row r="60" spans="1:10" ht="38.4" customHeight="1">
      <c r="A60" s="43" t="s">
        <v>356</v>
      </c>
      <c r="B60" s="43">
        <v>58</v>
      </c>
      <c r="C60" s="44" t="s">
        <v>396</v>
      </c>
      <c r="D60" s="44" t="s">
        <v>432</v>
      </c>
      <c r="E60" s="44" t="s">
        <v>541</v>
      </c>
      <c r="F60" s="72" t="s">
        <v>486</v>
      </c>
      <c r="G60" s="45" t="s">
        <v>21</v>
      </c>
      <c r="H60" s="46">
        <v>60</v>
      </c>
      <c r="I60" s="46" t="s">
        <v>64</v>
      </c>
      <c r="J60" s="50"/>
    </row>
    <row r="61" spans="1:10" ht="38.4" customHeight="1">
      <c r="A61" s="43" t="s">
        <v>357</v>
      </c>
      <c r="B61" s="43">
        <v>59</v>
      </c>
      <c r="C61" s="44" t="s">
        <v>397</v>
      </c>
      <c r="D61" s="44" t="s">
        <v>433</v>
      </c>
      <c r="E61" s="44" t="s">
        <v>542</v>
      </c>
      <c r="F61" s="72" t="s">
        <v>487</v>
      </c>
      <c r="G61" s="45" t="s">
        <v>21</v>
      </c>
      <c r="H61" s="46">
        <v>60</v>
      </c>
      <c r="I61" s="46" t="s">
        <v>64</v>
      </c>
      <c r="J61" s="50"/>
    </row>
    <row r="62" spans="1:10" ht="38.4" customHeight="1">
      <c r="A62" s="43" t="s">
        <v>358</v>
      </c>
      <c r="B62" s="43">
        <v>60</v>
      </c>
      <c r="C62" s="44" t="s">
        <v>398</v>
      </c>
      <c r="D62" s="44" t="s">
        <v>318</v>
      </c>
      <c r="E62" s="44" t="s">
        <v>543</v>
      </c>
      <c r="F62" s="72" t="s">
        <v>453</v>
      </c>
      <c r="G62" s="45" t="s">
        <v>29</v>
      </c>
      <c r="H62" s="46">
        <v>60</v>
      </c>
      <c r="I62" s="46" t="s">
        <v>64</v>
      </c>
      <c r="J62" s="50"/>
    </row>
    <row r="65" spans="7:10" ht="13">
      <c r="G65" s="47" t="s">
        <v>21</v>
      </c>
      <c r="H65" s="48">
        <f>SUMIF(G$23:G$62,G65,H$23:H$62)</f>
        <v>2280</v>
      </c>
      <c r="I65" s="51"/>
      <c r="J65" s="52">
        <f>H65/$H$70</f>
        <v>0.95</v>
      </c>
    </row>
    <row r="66" spans="7:10" ht="13">
      <c r="G66" s="47" t="s">
        <v>23</v>
      </c>
      <c r="H66" s="48">
        <f>SUMIF(G$23:G$62,G66,H$23:H$62)</f>
        <v>0</v>
      </c>
      <c r="I66" s="51"/>
      <c r="J66" s="52">
        <f>H66/$H$70</f>
        <v>0</v>
      </c>
    </row>
    <row r="67" spans="7:10" ht="13">
      <c r="G67" s="47" t="s">
        <v>25</v>
      </c>
      <c r="H67" s="48">
        <f>SUMIF(G$23:G$62,G67,H$23:H$62)</f>
        <v>0</v>
      </c>
      <c r="I67" s="51"/>
      <c r="J67" s="52">
        <f>H67/$H$70</f>
        <v>0</v>
      </c>
    </row>
    <row r="68" spans="7:10" ht="13">
      <c r="G68" s="47" t="s">
        <v>27</v>
      </c>
      <c r="H68" s="48">
        <f>SUMIF(G$23:G$62,G68,H$23:H$62)</f>
        <v>0</v>
      </c>
      <c r="I68" s="51"/>
      <c r="J68" s="52">
        <f>H68/$H$70</f>
        <v>0</v>
      </c>
    </row>
    <row r="69" spans="7:10" ht="13">
      <c r="G69" s="47" t="s">
        <v>29</v>
      </c>
      <c r="H69" s="48">
        <f>SUMIF(G$23:G$62,G69,H$23:H$62)</f>
        <v>120</v>
      </c>
      <c r="I69" s="51"/>
      <c r="J69" s="52">
        <f>H69/$H$70</f>
        <v>0.05</v>
      </c>
    </row>
    <row r="70" spans="7:10" ht="13">
      <c r="G70" s="47" t="s">
        <v>103</v>
      </c>
      <c r="H70" s="49">
        <f>SUM(H65:H69)</f>
        <v>2400</v>
      </c>
      <c r="I70" s="53"/>
      <c r="J70" s="54">
        <f>SUM(J65:J69)</f>
        <v>1</v>
      </c>
    </row>
  </sheetData>
  <autoFilter ref="A2:J63"/>
  <mergeCells count="1">
    <mergeCell ref="A1:J1"/>
  </mergeCells>
  <dataValidations count="2">
    <dataValidation type="list" allowBlank="1" showErrorMessage="1" sqref="G3:G62">
      <formula1>"Concept/Lecture, Assignment/Lab, Test/Quiz, Exam, Guides/Review, Seminar/Workshop, Class Meeting"</formula1>
    </dataValidation>
    <dataValidation type="list" allowBlank="1" showInputMessage="1" showErrorMessage="1" sqref="I3:I62">
      <formula1>"Virtual,Online,Offline"</formula1>
    </dataValidation>
  </dataValidations>
  <pageMargins left="0.44" right="0.70866141732283505" top="0.47" bottom="0.55000000000000004" header="0.31496062992126" footer="0.31496062992126"/>
  <pageSetup paperSize="9" scale="58" fitToHeight="2" orientation="landscape"/>
  <headerFooter>
    <oddFooter>&amp;L18e-BM/DT/FSOFT v1/1&amp;CInternal use&amp;R&amp;P/&amp;N</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5"/>
  <sheetViews>
    <sheetView workbookViewId="0">
      <selection activeCell="AL4" sqref="AL4"/>
    </sheetView>
  </sheetViews>
  <sheetFormatPr defaultColWidth="9" defaultRowHeight="12.5"/>
  <sheetData>
    <row r="1" spans="1:256">
      <c r="A1" t="e">
        <f>IF(Syllabus!1:1,"AAAAAH7b/wA=",0)</f>
        <v>#VALUE!</v>
      </c>
      <c r="B1" t="e">
        <f>AND(Syllabus!#REF!,"AAAAAH7b/wE=")</f>
        <v>#REF!</v>
      </c>
      <c r="C1" t="e">
        <f>AND(Syllabus!B1,"AAAAAH7b/wI=")</f>
        <v>#VALUE!</v>
      </c>
      <c r="D1" t="e">
        <f>AND(Syllabus!C1,"AAAAAH7b/wM=")</f>
        <v>#VALUE!</v>
      </c>
      <c r="E1" t="e">
        <f>AND(Syllabus!D1,"AAAAAH7b/wQ=")</f>
        <v>#VALUE!</v>
      </c>
      <c r="F1" t="e">
        <f>AND(Syllabus!E1,"AAAAAH7b/wU=")</f>
        <v>#VALUE!</v>
      </c>
      <c r="G1" t="e">
        <f>AND(Syllabus!#REF!,"AAAAAH7b/wY=")</f>
        <v>#REF!</v>
      </c>
      <c r="H1" t="e">
        <f>AND(Syllabus!F1,"AAAAAH7b/wc=")</f>
        <v>#VALUE!</v>
      </c>
      <c r="I1">
        <f>IF(Syllabus!2:2,"AAAAAH7b/wg=",0)</f>
        <v>0</v>
      </c>
      <c r="J1" t="e">
        <f>AND(Syllabus!A2,"AAAAAH7b/wk=")</f>
        <v>#VALUE!</v>
      </c>
      <c r="K1" t="e">
        <f>AND(Syllabus!B2,"AAAAAH7b/wo=")</f>
        <v>#VALUE!</v>
      </c>
      <c r="L1" t="e">
        <f>AND(Syllabus!C2,"AAAAAH7b/ws=")</f>
        <v>#VALUE!</v>
      </c>
      <c r="M1" t="e">
        <f>AND(Syllabus!D2,"AAAAAH7b/ww=")</f>
        <v>#VALUE!</v>
      </c>
      <c r="N1" t="e">
        <f>AND(Syllabus!E2,"AAAAAH7b/w0=")</f>
        <v>#VALUE!</v>
      </c>
      <c r="O1" t="e">
        <f>AND(Syllabus!#REF!,"AAAAAH7b/w4=")</f>
        <v>#REF!</v>
      </c>
      <c r="P1" t="e">
        <f>AND(Syllabus!F2,"AAAAAH7b/w8=")</f>
        <v>#VALUE!</v>
      </c>
      <c r="Q1">
        <f>IF(Syllabus!5:5,"AAAAAH7b/xA=",0)</f>
        <v>0</v>
      </c>
      <c r="R1" t="e">
        <f>AND(Syllabus!A5,"AAAAAH7b/xE=")</f>
        <v>#VALUE!</v>
      </c>
      <c r="S1" t="e">
        <f>AND(Syllabus!B5,"AAAAAH7b/xI=")</f>
        <v>#VALUE!</v>
      </c>
      <c r="T1" t="e">
        <f>AND(Syllabus!C5,"AAAAAH7b/xM=")</f>
        <v>#VALUE!</v>
      </c>
      <c r="U1" t="e">
        <f>AND(Syllabus!D5,"AAAAAH7b/xQ=")</f>
        <v>#VALUE!</v>
      </c>
      <c r="V1" t="e">
        <f>AND(Syllabus!E5,"AAAAAH7b/xU=")</f>
        <v>#VALUE!</v>
      </c>
      <c r="W1" t="e">
        <f>AND(Syllabus!#REF!,"AAAAAH7b/xY=")</f>
        <v>#REF!</v>
      </c>
      <c r="X1" t="e">
        <f>AND(Syllabus!F5,"AAAAAH7b/xc=")</f>
        <v>#VALUE!</v>
      </c>
      <c r="Y1">
        <f>IF(Syllabus!6:6,"AAAAAH7b/xg=",0)</f>
        <v>0</v>
      </c>
      <c r="Z1" t="e">
        <f>AND(Syllabus!A6,"AAAAAH7b/xk=")</f>
        <v>#VALUE!</v>
      </c>
      <c r="AA1" t="e">
        <f>AND(Syllabus!B6,"AAAAAH7b/xo=")</f>
        <v>#VALUE!</v>
      </c>
      <c r="AB1" t="e">
        <f>AND(Syllabus!C6,"AAAAAH7b/xs=")</f>
        <v>#VALUE!</v>
      </c>
      <c r="AC1" t="e">
        <f>AND(Syllabus!D6,"AAAAAH7b/xw=")</f>
        <v>#VALUE!</v>
      </c>
      <c r="AD1" t="e">
        <f>AND(Syllabus!E6,"AAAAAH7b/x0=")</f>
        <v>#VALUE!</v>
      </c>
      <c r="AE1" t="e">
        <f>AND(Syllabus!#REF!,"AAAAAH7b/x4=")</f>
        <v>#REF!</v>
      </c>
      <c r="AF1" t="e">
        <f>AND(Syllabus!F6,"AAAAAH7b/x8=")</f>
        <v>#VALUE!</v>
      </c>
      <c r="AG1">
        <f>IF(Syllabus!7:7,"AAAAAH7b/yA=",0)</f>
        <v>0</v>
      </c>
      <c r="AH1" t="e">
        <f>AND(Syllabus!A7,"AAAAAH7b/yE=")</f>
        <v>#VALUE!</v>
      </c>
      <c r="AI1" t="e">
        <f>AND(Syllabus!B7,"AAAAAH7b/yI=")</f>
        <v>#VALUE!</v>
      </c>
      <c r="AJ1" t="e">
        <f>AND(Syllabus!C7,"AAAAAH7b/yM=")</f>
        <v>#VALUE!</v>
      </c>
      <c r="AK1" t="e">
        <f>AND(Syllabus!D7,"AAAAAH7b/yQ=")</f>
        <v>#VALUE!</v>
      </c>
      <c r="AL1" t="e">
        <f>AND(Syllabus!E7,"AAAAAH7b/yU=")</f>
        <v>#VALUE!</v>
      </c>
      <c r="AM1" t="e">
        <f>AND(Syllabus!#REF!,"AAAAAH7b/yY=")</f>
        <v>#REF!</v>
      </c>
      <c r="AN1" t="e">
        <f>AND(Syllabus!F7,"AAAAAH7b/yc=")</f>
        <v>#VALUE!</v>
      </c>
      <c r="AO1">
        <f>IF(Syllabus!8:8,"AAAAAH7b/yg=",0)</f>
        <v>0</v>
      </c>
      <c r="AP1" t="e">
        <f>AND(Syllabus!A8,"AAAAAH7b/yk=")</f>
        <v>#VALUE!</v>
      </c>
      <c r="AQ1" t="e">
        <f>AND(Syllabus!B8,"AAAAAH7b/yo=")</f>
        <v>#VALUE!</v>
      </c>
      <c r="AR1" t="e">
        <f>AND(Syllabus!C8,"AAAAAH7b/ys=")</f>
        <v>#VALUE!</v>
      </c>
      <c r="AS1" t="e">
        <f>AND(Syllabus!D8,"AAAAAH7b/yw=")</f>
        <v>#VALUE!</v>
      </c>
      <c r="AT1" t="e">
        <f>AND(Syllabus!E8,"AAAAAH7b/y0=")</f>
        <v>#VALUE!</v>
      </c>
      <c r="AU1" t="e">
        <f>AND(Syllabus!#REF!,"AAAAAH7b/y4=")</f>
        <v>#REF!</v>
      </c>
      <c r="AV1" t="e">
        <f>AND(Syllabus!F8,"AAAAAH7b/y8=")</f>
        <v>#VALUE!</v>
      </c>
      <c r="AW1" t="e">
        <f>IF(Syllabus!#REF!,"AAAAAH7b/zA=",0)</f>
        <v>#REF!</v>
      </c>
      <c r="AX1" t="e">
        <f>AND(Syllabus!#REF!,"AAAAAH7b/zE=")</f>
        <v>#REF!</v>
      </c>
      <c r="AY1" t="e">
        <f>AND(Syllabus!#REF!,"AAAAAH7b/zI=")</f>
        <v>#REF!</v>
      </c>
      <c r="AZ1" t="e">
        <f>AND(Syllabus!#REF!,"AAAAAH7b/zM=")</f>
        <v>#REF!</v>
      </c>
      <c r="BA1" t="e">
        <f>AND(Syllabus!#REF!,"AAAAAH7b/zQ=")</f>
        <v>#REF!</v>
      </c>
      <c r="BB1" t="e">
        <f>AND(Syllabus!#REF!,"AAAAAH7b/zU=")</f>
        <v>#REF!</v>
      </c>
      <c r="BC1" t="e">
        <f>AND(Syllabus!#REF!,"AAAAAH7b/zY=")</f>
        <v>#REF!</v>
      </c>
      <c r="BD1" t="e">
        <f>AND(Syllabus!#REF!,"AAAAAH7b/zc=")</f>
        <v>#REF!</v>
      </c>
      <c r="BE1">
        <f>IF(Syllabus!11:11,"AAAAAH7b/zg=",0)</f>
        <v>0</v>
      </c>
      <c r="BF1" t="e">
        <f>AND(Syllabus!A11,"AAAAAH7b/zk=")</f>
        <v>#VALUE!</v>
      </c>
      <c r="BG1" t="e">
        <f>AND(Syllabus!B11,"AAAAAH7b/zo=")</f>
        <v>#VALUE!</v>
      </c>
      <c r="BH1" t="e">
        <f>AND(Syllabus!#REF!,"AAAAAH7b/zs=")</f>
        <v>#REF!</v>
      </c>
      <c r="BI1" t="e">
        <f>AND(Syllabus!D11,"AAAAAH7b/zw=")</f>
        <v>#VALUE!</v>
      </c>
      <c r="BJ1" t="e">
        <f>AND(Syllabus!E11,"AAAAAH7b/z0=")</f>
        <v>#VALUE!</v>
      </c>
      <c r="BK1" t="e">
        <f>AND(Syllabus!#REF!,"AAAAAH7b/z4=")</f>
        <v>#REF!</v>
      </c>
      <c r="BL1" t="e">
        <f>AND(Syllabus!F11,"AAAAAH7b/z8=")</f>
        <v>#VALUE!</v>
      </c>
      <c r="BM1" t="e">
        <f>IF(Syllabus!#REF!,"AAAAAH7b/0A=",0)</f>
        <v>#REF!</v>
      </c>
      <c r="BN1" t="e">
        <f>AND(Syllabus!#REF!,"AAAAAH7b/0E=")</f>
        <v>#REF!</v>
      </c>
      <c r="BO1" t="e">
        <f>AND(Syllabus!#REF!,"AAAAAH7b/0I=")</f>
        <v>#REF!</v>
      </c>
      <c r="BP1" t="e">
        <f>AND(Syllabus!#REF!,"AAAAAH7b/0M=")</f>
        <v>#REF!</v>
      </c>
      <c r="BQ1" t="e">
        <f>AND(Syllabus!#REF!,"AAAAAH7b/0Q=")</f>
        <v>#REF!</v>
      </c>
      <c r="BR1" t="e">
        <f>AND(Syllabus!#REF!,"AAAAAH7b/0U=")</f>
        <v>#REF!</v>
      </c>
      <c r="BS1" t="e">
        <f>AND(Syllabus!#REF!,"AAAAAH7b/0Y=")</f>
        <v>#REF!</v>
      </c>
      <c r="BT1" t="e">
        <f>AND(Syllabus!#REF!,"AAAAAH7b/0c=")</f>
        <v>#REF!</v>
      </c>
      <c r="BU1" t="e">
        <f>IF(Syllabus!#REF!,"AAAAAH7b/0g=",0)</f>
        <v>#REF!</v>
      </c>
      <c r="BV1" t="e">
        <f>AND(Syllabus!#REF!,"AAAAAH7b/0k=")</f>
        <v>#REF!</v>
      </c>
      <c r="BW1" t="e">
        <f>AND(Syllabus!#REF!,"AAAAAH7b/0o=")</f>
        <v>#REF!</v>
      </c>
      <c r="BX1" t="e">
        <f>AND(Syllabus!#REF!,"AAAAAH7b/0s=")</f>
        <v>#REF!</v>
      </c>
      <c r="BY1" t="e">
        <f>AND(Syllabus!#REF!,"AAAAAH7b/0w=")</f>
        <v>#REF!</v>
      </c>
      <c r="BZ1" t="e">
        <f>AND(Syllabus!#REF!,"AAAAAH7b/00=")</f>
        <v>#REF!</v>
      </c>
      <c r="CA1" t="e">
        <f>AND(Syllabus!#REF!,"AAAAAH7b/04=")</f>
        <v>#REF!</v>
      </c>
      <c r="CB1" t="e">
        <f>AND(Syllabus!#REF!,"AAAAAH7b/08=")</f>
        <v>#REF!</v>
      </c>
      <c r="CC1">
        <f>IF(Syllabus!13:13,"AAAAAH7b/1A=",0)</f>
        <v>0</v>
      </c>
      <c r="CD1" t="e">
        <f>AND(Syllabus!A13,"AAAAAH7b/1E=")</f>
        <v>#VALUE!</v>
      </c>
      <c r="CE1" t="e">
        <f>AND(Syllabus!B13,"AAAAAH7b/1I=")</f>
        <v>#VALUE!</v>
      </c>
      <c r="CF1" t="e">
        <f>AND(Syllabus!C11,"AAAAAH7b/1M=")</f>
        <v>#VALUE!</v>
      </c>
      <c r="CG1" t="e">
        <f>AND(Syllabus!D13,"AAAAAH7b/1Q=")</f>
        <v>#VALUE!</v>
      </c>
      <c r="CH1" t="e">
        <f>AND(Syllabus!E13,"AAAAAH7b/1U=")</f>
        <v>#VALUE!</v>
      </c>
      <c r="CI1" t="e">
        <f>AND(Syllabus!#REF!,"AAAAAH7b/1Y=")</f>
        <v>#REF!</v>
      </c>
      <c r="CJ1" t="e">
        <f>AND(Syllabus!F13,"AAAAAH7b/1c=")</f>
        <v>#VALUE!</v>
      </c>
      <c r="CK1">
        <f>IF(Syllabus!14:14,"AAAAAH7b/1g=",0)</f>
        <v>0</v>
      </c>
      <c r="CL1" t="e">
        <f>AND(Syllabus!A14,"AAAAAH7b/1k=")</f>
        <v>#VALUE!</v>
      </c>
      <c r="CM1" t="e">
        <f>AND(Syllabus!B14,"AAAAAH7b/1o=")</f>
        <v>#VALUE!</v>
      </c>
      <c r="CN1" t="e">
        <f>AND(Syllabus!C14,"AAAAAH7b/1s=")</f>
        <v>#VALUE!</v>
      </c>
      <c r="CO1" t="e">
        <f>AND(Syllabus!D14,"AAAAAH7b/1w=")</f>
        <v>#VALUE!</v>
      </c>
      <c r="CP1" t="e">
        <f>AND(Syllabus!E14,"AAAAAH7b/10=")</f>
        <v>#VALUE!</v>
      </c>
      <c r="CQ1" t="e">
        <f>AND(Syllabus!#REF!,"AAAAAH7b/14=")</f>
        <v>#REF!</v>
      </c>
      <c r="CR1" t="e">
        <f>AND(Syllabus!F14,"AAAAAH7b/18=")</f>
        <v>#VALUE!</v>
      </c>
      <c r="CS1">
        <f>IF(Syllabus!15:15,"AAAAAH7b/2A=",0)</f>
        <v>0</v>
      </c>
      <c r="CT1" t="e">
        <f>AND(Syllabus!A15,"AAAAAH7b/2E=")</f>
        <v>#VALUE!</v>
      </c>
      <c r="CU1" t="e">
        <f>AND(Syllabus!B15,"AAAAAH7b/2I=")</f>
        <v>#VALUE!</v>
      </c>
      <c r="CV1" t="e">
        <f>AND(Syllabus!C15,"AAAAAH7b/2M=")</f>
        <v>#VALUE!</v>
      </c>
      <c r="CW1" t="e">
        <f>AND(Syllabus!D15,"AAAAAH7b/2Q=")</f>
        <v>#VALUE!</v>
      </c>
      <c r="CX1" t="e">
        <f>AND(Syllabus!E15,"AAAAAH7b/2U=")</f>
        <v>#VALUE!</v>
      </c>
      <c r="CY1" t="e">
        <f>AND(Syllabus!#REF!,"AAAAAH7b/2Y=")</f>
        <v>#REF!</v>
      </c>
      <c r="CZ1" t="e">
        <f>AND(Syllabus!F15,"AAAAAH7b/2c=")</f>
        <v>#VALUE!</v>
      </c>
      <c r="DA1">
        <f>IF(Syllabus!16:16,"AAAAAH7b/2g=",0)</f>
        <v>0</v>
      </c>
      <c r="DB1" t="e">
        <f>AND(Syllabus!A16,"AAAAAH7b/2k=")</f>
        <v>#VALUE!</v>
      </c>
      <c r="DC1" t="e">
        <f>AND(Syllabus!B16,"AAAAAH7b/2o=")</f>
        <v>#VALUE!</v>
      </c>
      <c r="DD1" t="e">
        <f>AND(Syllabus!C16,"AAAAAH7b/2s=")</f>
        <v>#VALUE!</v>
      </c>
      <c r="DE1" t="e">
        <f>AND(Syllabus!D16,"AAAAAH7b/2w=")</f>
        <v>#VALUE!</v>
      </c>
      <c r="DF1" t="e">
        <f>AND(Syllabus!E16,"AAAAAH7b/20=")</f>
        <v>#VALUE!</v>
      </c>
      <c r="DG1" t="e">
        <f>AND(Syllabus!#REF!,"AAAAAH7b/24=")</f>
        <v>#REF!</v>
      </c>
      <c r="DH1" t="e">
        <f>AND(Syllabus!F16,"AAAAAH7b/28=")</f>
        <v>#VALUE!</v>
      </c>
      <c r="DI1">
        <f>IF(Syllabus!17:17,"AAAAAH7b/3A=",0)</f>
        <v>0</v>
      </c>
      <c r="DJ1" t="e">
        <f>AND(Syllabus!A17,"AAAAAH7b/3E=")</f>
        <v>#VALUE!</v>
      </c>
      <c r="DK1" t="e">
        <f>AND(Syllabus!B17,"AAAAAH7b/3I=")</f>
        <v>#VALUE!</v>
      </c>
      <c r="DL1" t="e">
        <f>AND(Syllabus!C17,"AAAAAH7b/3M=")</f>
        <v>#VALUE!</v>
      </c>
      <c r="DM1" t="e">
        <f>AND(Syllabus!D17,"AAAAAH7b/3Q=")</f>
        <v>#VALUE!</v>
      </c>
      <c r="DN1" t="e">
        <f>AND(Syllabus!E17,"AAAAAH7b/3U=")</f>
        <v>#VALUE!</v>
      </c>
      <c r="DO1" t="e">
        <f>AND(Syllabus!#REF!,"AAAAAH7b/3Y=")</f>
        <v>#REF!</v>
      </c>
      <c r="DP1" t="e">
        <f>AND(Syllabus!F17,"AAAAAH7b/3c=")</f>
        <v>#VALUE!</v>
      </c>
      <c r="DQ1">
        <f>IF(Syllabus!18:18,"AAAAAH7b/3g=",0)</f>
        <v>0</v>
      </c>
      <c r="DR1" t="e">
        <f>AND(Syllabus!A18,"AAAAAH7b/3k=")</f>
        <v>#VALUE!</v>
      </c>
      <c r="DS1" t="e">
        <f>AND(Syllabus!B18,"AAAAAH7b/3o=")</f>
        <v>#VALUE!</v>
      </c>
      <c r="DT1" t="e">
        <f>AND(Syllabus!C18,"AAAAAH7b/3s=")</f>
        <v>#VALUE!</v>
      </c>
      <c r="DU1" t="e">
        <f>AND(Syllabus!D18,"AAAAAH7b/3w=")</f>
        <v>#VALUE!</v>
      </c>
      <c r="DV1" t="e">
        <f>AND(Syllabus!E18,"AAAAAH7b/30=")</f>
        <v>#VALUE!</v>
      </c>
      <c r="DW1" t="e">
        <f>AND(Syllabus!#REF!,"AAAAAH7b/34=")</f>
        <v>#REF!</v>
      </c>
      <c r="DX1" t="e">
        <f>AND(Syllabus!F18,"AAAAAH7b/38=")</f>
        <v>#VALUE!</v>
      </c>
      <c r="DY1">
        <f>IF(Syllabus!19:19,"AAAAAH7b/4A=",0)</f>
        <v>0</v>
      </c>
      <c r="DZ1" t="e">
        <f>AND(Syllabus!A19,"AAAAAH7b/4E=")</f>
        <v>#VALUE!</v>
      </c>
      <c r="EA1" t="e">
        <f>AND(Syllabus!B19,"AAAAAH7b/4I=")</f>
        <v>#VALUE!</v>
      </c>
      <c r="EB1" t="e">
        <f>AND(Syllabus!C19,"AAAAAH7b/4M=")</f>
        <v>#VALUE!</v>
      </c>
      <c r="EC1" t="e">
        <f>AND(Syllabus!D19,"AAAAAH7b/4Q=")</f>
        <v>#VALUE!</v>
      </c>
      <c r="ED1" t="e">
        <f>AND(Syllabus!E19,"AAAAAH7b/4U=")</f>
        <v>#VALUE!</v>
      </c>
      <c r="EE1" t="e">
        <f>AND(Syllabus!#REF!,"AAAAAH7b/4Y=")</f>
        <v>#REF!</v>
      </c>
      <c r="EF1" t="e">
        <f>AND(Syllabus!F19,"AAAAAH7b/4c=")</f>
        <v>#VALUE!</v>
      </c>
      <c r="EG1">
        <f>IF(Syllabus!20:20,"AAAAAH7b/4g=",0)</f>
        <v>0</v>
      </c>
      <c r="EH1" t="e">
        <f>AND(Syllabus!A20,"AAAAAH7b/4k=")</f>
        <v>#VALUE!</v>
      </c>
      <c r="EI1" t="e">
        <f>AND(Syllabus!B20,"AAAAAH7b/4o=")</f>
        <v>#VALUE!</v>
      </c>
      <c r="EJ1" t="e">
        <f>AND(Syllabus!C20,"AAAAAH7b/4s=")</f>
        <v>#VALUE!</v>
      </c>
      <c r="EK1" t="e">
        <f>AND(Syllabus!D20,"AAAAAH7b/4w=")</f>
        <v>#VALUE!</v>
      </c>
      <c r="EL1" t="e">
        <f>AND(Syllabus!E20,"AAAAAH7b/40=")</f>
        <v>#VALUE!</v>
      </c>
      <c r="EM1" t="e">
        <f>AND(Syllabus!#REF!,"AAAAAH7b/44=")</f>
        <v>#REF!</v>
      </c>
      <c r="EN1" t="e">
        <f>AND(Syllabus!F20,"AAAAAH7b/48=")</f>
        <v>#VALUE!</v>
      </c>
      <c r="EO1">
        <f>IF(Syllabus!21:21,"AAAAAH7b/5A=",0)</f>
        <v>0</v>
      </c>
      <c r="EP1" t="e">
        <f>AND(Syllabus!A21,"AAAAAH7b/5E=")</f>
        <v>#VALUE!</v>
      </c>
      <c r="EQ1" t="e">
        <f>AND(Syllabus!B21,"AAAAAH7b/5I=")</f>
        <v>#VALUE!</v>
      </c>
      <c r="ER1" t="e">
        <f>AND(Syllabus!C21,"AAAAAH7b/5M=")</f>
        <v>#VALUE!</v>
      </c>
      <c r="ES1" t="e">
        <f>AND(Syllabus!D21,"AAAAAH7b/5Q=")</f>
        <v>#VALUE!</v>
      </c>
      <c r="ET1" t="e">
        <f>AND(Syllabus!E21,"AAAAAH7b/5U=")</f>
        <v>#VALUE!</v>
      </c>
      <c r="EU1" t="e">
        <f>AND(Syllabus!#REF!,"AAAAAH7b/5Y=")</f>
        <v>#REF!</v>
      </c>
      <c r="EV1" t="e">
        <f>AND(Syllabus!F21,"AAAAAH7b/5c=")</f>
        <v>#VALUE!</v>
      </c>
      <c r="EW1">
        <f>IF(Syllabus!22:22,"AAAAAH7b/5g=",0)</f>
        <v>0</v>
      </c>
      <c r="EX1" t="e">
        <f>AND(Syllabus!A22,"AAAAAH7b/5k=")</f>
        <v>#VALUE!</v>
      </c>
      <c r="EY1" t="e">
        <f>AND(Syllabus!B22,"AAAAAH7b/5o=")</f>
        <v>#VALUE!</v>
      </c>
      <c r="EZ1" t="e">
        <f>AND(Syllabus!C22,"AAAAAH7b/5s=")</f>
        <v>#VALUE!</v>
      </c>
      <c r="FA1" t="e">
        <f>AND(Syllabus!D22,"AAAAAH7b/5w=")</f>
        <v>#VALUE!</v>
      </c>
      <c r="FB1" t="e">
        <f>AND(Syllabus!E22,"AAAAAH7b/50=")</f>
        <v>#VALUE!</v>
      </c>
      <c r="FC1" t="e">
        <f>AND(Syllabus!#REF!,"AAAAAH7b/54=")</f>
        <v>#REF!</v>
      </c>
      <c r="FD1" t="e">
        <f>AND(Syllabus!F22,"AAAAAH7b/58=")</f>
        <v>#VALUE!</v>
      </c>
      <c r="FE1">
        <f>IF(Syllabus!23:23,"AAAAAH7b/6A=",0)</f>
        <v>0</v>
      </c>
      <c r="FF1" t="e">
        <f>AND(Syllabus!A23,"AAAAAH7b/6E=")</f>
        <v>#VALUE!</v>
      </c>
      <c r="FG1" t="e">
        <f>AND(Syllabus!B23,"AAAAAH7b/6I=")</f>
        <v>#VALUE!</v>
      </c>
      <c r="FH1" t="e">
        <f>AND(Syllabus!C23,"AAAAAH7b/6M=")</f>
        <v>#VALUE!</v>
      </c>
      <c r="FI1" t="e">
        <f>AND(Syllabus!D23,"AAAAAH7b/6Q=")</f>
        <v>#VALUE!</v>
      </c>
      <c r="FJ1" t="e">
        <f>AND(Syllabus!E23,"AAAAAH7b/6U=")</f>
        <v>#VALUE!</v>
      </c>
      <c r="FK1" t="e">
        <f>AND(Syllabus!#REF!,"AAAAAH7b/6Y=")</f>
        <v>#REF!</v>
      </c>
      <c r="FL1" t="e">
        <f>AND(Syllabus!F23,"AAAAAH7b/6c=")</f>
        <v>#VALUE!</v>
      </c>
      <c r="FM1">
        <f>IF(Syllabus!24:24,"AAAAAH7b/6g=",0)</f>
        <v>0</v>
      </c>
      <c r="FN1" t="e">
        <f>AND(Syllabus!A24,"AAAAAH7b/6k=")</f>
        <v>#VALUE!</v>
      </c>
      <c r="FO1" t="e">
        <f>AND(Syllabus!B24,"AAAAAH7b/6o=")</f>
        <v>#VALUE!</v>
      </c>
      <c r="FP1" t="e">
        <f>AND(Syllabus!C24,"AAAAAH7b/6s=")</f>
        <v>#VALUE!</v>
      </c>
      <c r="FQ1" t="e">
        <f>AND(Syllabus!D24,"AAAAAH7b/6w=")</f>
        <v>#VALUE!</v>
      </c>
      <c r="FR1" t="e">
        <f>AND(Syllabus!E24,"AAAAAH7b/60=")</f>
        <v>#VALUE!</v>
      </c>
      <c r="FS1" t="e">
        <f>AND(Syllabus!#REF!,"AAAAAH7b/64=")</f>
        <v>#REF!</v>
      </c>
      <c r="FT1" t="e">
        <f>AND(Syllabus!F24,"AAAAAH7b/68=")</f>
        <v>#VALUE!</v>
      </c>
      <c r="FU1">
        <f>IF(Syllabus!25:25,"AAAAAH7b/7A=",0)</f>
        <v>0</v>
      </c>
      <c r="FV1" t="e">
        <f>AND(Syllabus!A25,"AAAAAH7b/7E=")</f>
        <v>#VALUE!</v>
      </c>
      <c r="FW1" t="e">
        <f>AND(Syllabus!B25,"AAAAAH7b/7I=")</f>
        <v>#VALUE!</v>
      </c>
      <c r="FX1" t="e">
        <f>AND(Syllabus!C25,"AAAAAH7b/7M=")</f>
        <v>#VALUE!</v>
      </c>
      <c r="FY1" t="e">
        <f>AND(Syllabus!D25,"AAAAAH7b/7Q=")</f>
        <v>#VALUE!</v>
      </c>
      <c r="FZ1" t="e">
        <f>AND(Syllabus!E25,"AAAAAH7b/7U=")</f>
        <v>#VALUE!</v>
      </c>
      <c r="GA1" t="e">
        <f>AND(Syllabus!#REF!,"AAAAAH7b/7Y=")</f>
        <v>#REF!</v>
      </c>
      <c r="GB1" t="e">
        <f>AND(Syllabus!F25,"AAAAAH7b/7c=")</f>
        <v>#VALUE!</v>
      </c>
      <c r="GC1">
        <f>IF(Syllabus!26:26,"AAAAAH7b/7g=",0)</f>
        <v>0</v>
      </c>
      <c r="GD1" t="e">
        <f>AND(Syllabus!A26,"AAAAAH7b/7k=")</f>
        <v>#VALUE!</v>
      </c>
      <c r="GE1" t="e">
        <f>AND(Syllabus!B26,"AAAAAH7b/7o=")</f>
        <v>#VALUE!</v>
      </c>
      <c r="GF1" t="e">
        <f>AND(Syllabus!C26,"AAAAAH7b/7s=")</f>
        <v>#VALUE!</v>
      </c>
      <c r="GG1" t="e">
        <f>AND(Syllabus!D26,"AAAAAH7b/7w=")</f>
        <v>#VALUE!</v>
      </c>
      <c r="GH1" t="e">
        <f>AND(Syllabus!E26,"AAAAAH7b/70=")</f>
        <v>#VALUE!</v>
      </c>
      <c r="GI1" t="e">
        <f>AND(Syllabus!#REF!,"AAAAAH7b/74=")</f>
        <v>#REF!</v>
      </c>
      <c r="GJ1" t="e">
        <f>AND(Syllabus!F26,"AAAAAH7b/78=")</f>
        <v>#VALUE!</v>
      </c>
      <c r="GK1">
        <f>IF(Syllabus!27:27,"AAAAAH7b/8A=",0)</f>
        <v>0</v>
      </c>
      <c r="GL1" t="e">
        <f>AND(Syllabus!A27,"AAAAAH7b/8E=")</f>
        <v>#VALUE!</v>
      </c>
      <c r="GM1" t="e">
        <f>AND(Syllabus!B27,"AAAAAH7b/8I=")</f>
        <v>#VALUE!</v>
      </c>
      <c r="GN1" t="e">
        <f>AND(Syllabus!C27,"AAAAAH7b/8M=")</f>
        <v>#VALUE!</v>
      </c>
      <c r="GO1" t="e">
        <f>AND(Syllabus!D27,"AAAAAH7b/8Q=")</f>
        <v>#VALUE!</v>
      </c>
      <c r="GP1" t="e">
        <f>AND(Syllabus!E27,"AAAAAH7b/8U=")</f>
        <v>#VALUE!</v>
      </c>
      <c r="GQ1" t="e">
        <f>AND(Syllabus!#REF!,"AAAAAH7b/8Y=")</f>
        <v>#REF!</v>
      </c>
      <c r="GR1" t="e">
        <f>AND(Syllabus!F27,"AAAAAH7b/8c=")</f>
        <v>#VALUE!</v>
      </c>
      <c r="GS1">
        <f>IF(Syllabus!28:28,"AAAAAH7b/8g=",0)</f>
        <v>0</v>
      </c>
      <c r="GT1" t="e">
        <f>AND(Syllabus!A28,"AAAAAH7b/8k=")</f>
        <v>#VALUE!</v>
      </c>
      <c r="GU1" t="e">
        <f>AND(Syllabus!B28,"AAAAAH7b/8o=")</f>
        <v>#VALUE!</v>
      </c>
      <c r="GV1" t="e">
        <f>AND(Syllabus!C28,"AAAAAH7b/8s=")</f>
        <v>#VALUE!</v>
      </c>
      <c r="GW1" t="e">
        <f>AND(Syllabus!D28,"AAAAAH7b/8w=")</f>
        <v>#VALUE!</v>
      </c>
      <c r="GX1" t="e">
        <f>AND(Syllabus!E28,"AAAAAH7b/80=")</f>
        <v>#VALUE!</v>
      </c>
      <c r="GY1" t="e">
        <f>AND(Syllabus!#REF!,"AAAAAH7b/84=")</f>
        <v>#REF!</v>
      </c>
      <c r="GZ1" t="e">
        <f>AND(Syllabus!F28,"AAAAAH7b/88=")</f>
        <v>#VALUE!</v>
      </c>
      <c r="HA1">
        <f>IF(Syllabus!29:29,"AAAAAH7b/9A=",0)</f>
        <v>0</v>
      </c>
      <c r="HB1" t="e">
        <f>AND(Syllabus!A29,"AAAAAH7b/9E=")</f>
        <v>#VALUE!</v>
      </c>
      <c r="HC1" t="e">
        <f>AND(Syllabus!B29,"AAAAAH7b/9I=")</f>
        <v>#VALUE!</v>
      </c>
      <c r="HD1" t="e">
        <f>AND(Syllabus!C29,"AAAAAH7b/9M=")</f>
        <v>#VALUE!</v>
      </c>
      <c r="HE1" t="e">
        <f>AND(Syllabus!D29,"AAAAAH7b/9Q=")</f>
        <v>#VALUE!</v>
      </c>
      <c r="HF1" t="e">
        <f>AND(Syllabus!E29,"AAAAAH7b/9U=")</f>
        <v>#VALUE!</v>
      </c>
      <c r="HG1" t="e">
        <f>AND(Syllabus!#REF!,"AAAAAH7b/9Y=")</f>
        <v>#REF!</v>
      </c>
      <c r="HH1" t="e">
        <f>AND(Syllabus!F29,"AAAAAH7b/9c=")</f>
        <v>#VALUE!</v>
      </c>
      <c r="HI1">
        <f>IF(Syllabus!30:30,"AAAAAH7b/9g=",0)</f>
        <v>0</v>
      </c>
      <c r="HJ1" t="e">
        <f>AND(Syllabus!A30,"AAAAAH7b/9k=")</f>
        <v>#VALUE!</v>
      </c>
      <c r="HK1" t="e">
        <f>AND(Syllabus!B30,"AAAAAH7b/9o=")</f>
        <v>#VALUE!</v>
      </c>
      <c r="HL1" t="e">
        <f>AND(Syllabus!C30,"AAAAAH7b/9s=")</f>
        <v>#VALUE!</v>
      </c>
      <c r="HM1" t="e">
        <f>AND(Syllabus!D30,"AAAAAH7b/9w=")</f>
        <v>#VALUE!</v>
      </c>
      <c r="HN1" t="e">
        <f>AND(Syllabus!E30,"AAAAAH7b/90=")</f>
        <v>#VALUE!</v>
      </c>
      <c r="HO1" t="e">
        <f>AND(Syllabus!#REF!,"AAAAAH7b/94=")</f>
        <v>#REF!</v>
      </c>
      <c r="HP1" t="e">
        <f>AND(Syllabus!F30,"AAAAAH7b/98=")</f>
        <v>#VALUE!</v>
      </c>
      <c r="HQ1">
        <f>IF(Syllabus!31:31,"AAAAAH7b/+A=",0)</f>
        <v>0</v>
      </c>
      <c r="HR1" t="e">
        <f>AND(Syllabus!A31,"AAAAAH7b/+E=")</f>
        <v>#VALUE!</v>
      </c>
      <c r="HS1" t="e">
        <f>AND(Syllabus!B31,"AAAAAH7b/+I=")</f>
        <v>#VALUE!</v>
      </c>
      <c r="HT1" t="e">
        <f>AND(Syllabus!C31,"AAAAAH7b/+M=")</f>
        <v>#VALUE!</v>
      </c>
      <c r="HU1" t="e">
        <f>AND(Syllabus!D31,"AAAAAH7b/+Q=")</f>
        <v>#VALUE!</v>
      </c>
      <c r="HV1" t="e">
        <f>AND(Syllabus!E31,"AAAAAH7b/+U=")</f>
        <v>#VALUE!</v>
      </c>
      <c r="HW1" t="e">
        <f>AND(Syllabus!#REF!,"AAAAAH7b/+Y=")</f>
        <v>#REF!</v>
      </c>
      <c r="HX1" t="e">
        <f>AND(Syllabus!F31,"AAAAAH7b/+c=")</f>
        <v>#VALUE!</v>
      </c>
      <c r="HY1">
        <f>IF(Syllabus!33:33,"AAAAAH7b/+g=",0)</f>
        <v>0</v>
      </c>
      <c r="HZ1" t="e">
        <f>AND(Syllabus!A33,"AAAAAH7b/+k=")</f>
        <v>#VALUE!</v>
      </c>
      <c r="IA1" t="e">
        <f>AND(Syllabus!B33,"AAAAAH7b/+o=")</f>
        <v>#VALUE!</v>
      </c>
      <c r="IB1" t="e">
        <f>AND(Syllabus!C33,"AAAAAH7b/+s=")</f>
        <v>#VALUE!</v>
      </c>
      <c r="IC1" t="e">
        <f>AND(Syllabus!D33,"AAAAAH7b/+w=")</f>
        <v>#VALUE!</v>
      </c>
      <c r="ID1" t="e">
        <f>AND(Syllabus!E33,"AAAAAH7b/+0=")</f>
        <v>#VALUE!</v>
      </c>
      <c r="IE1" t="e">
        <f>AND(Syllabus!#REF!,"AAAAAH7b/+4=")</f>
        <v>#REF!</v>
      </c>
      <c r="IF1" t="e">
        <f>AND(Syllabus!F33,"AAAAAH7b/+8=")</f>
        <v>#VALUE!</v>
      </c>
      <c r="IG1">
        <f>IF(Syllabus!34:34,"AAAAAH7b//A=",0)</f>
        <v>0</v>
      </c>
      <c r="IH1" t="e">
        <f>AND(Syllabus!A34,"AAAAAH7b//E=")</f>
        <v>#VALUE!</v>
      </c>
      <c r="II1" t="e">
        <f>AND(Syllabus!B34,"AAAAAH7b//I=")</f>
        <v>#VALUE!</v>
      </c>
      <c r="IJ1" t="e">
        <f>AND(Syllabus!C34,"AAAAAH7b//M=")</f>
        <v>#VALUE!</v>
      </c>
      <c r="IK1" t="e">
        <f>AND(Syllabus!D34,"AAAAAH7b//Q=")</f>
        <v>#VALUE!</v>
      </c>
      <c r="IL1" t="e">
        <f>AND(Syllabus!E34,"AAAAAH7b//U=")</f>
        <v>#VALUE!</v>
      </c>
      <c r="IM1" t="e">
        <f>AND(Syllabus!#REF!,"AAAAAH7b//Y=")</f>
        <v>#REF!</v>
      </c>
      <c r="IN1" t="e">
        <f>AND(Syllabus!F34,"AAAAAH7b//c=")</f>
        <v>#VALUE!</v>
      </c>
      <c r="IO1">
        <f>IF(Syllabus!35:35,"AAAAAH7b//g=",0)</f>
        <v>0</v>
      </c>
      <c r="IP1" t="e">
        <f>AND(Syllabus!A35,"AAAAAH7b//k=")</f>
        <v>#VALUE!</v>
      </c>
      <c r="IQ1" t="e">
        <f>AND(Syllabus!B35,"AAAAAH7b//o=")</f>
        <v>#VALUE!</v>
      </c>
      <c r="IR1" t="e">
        <f>AND(Syllabus!C35,"AAAAAH7b//s=")</f>
        <v>#VALUE!</v>
      </c>
      <c r="IS1" t="e">
        <f>AND(Syllabus!D35,"AAAAAH7b//w=")</f>
        <v>#VALUE!</v>
      </c>
      <c r="IT1" t="e">
        <f>AND(Syllabus!E35,"AAAAAH7b//0=")</f>
        <v>#VALUE!</v>
      </c>
      <c r="IU1" t="e">
        <f>AND(Syllabus!#REF!,"AAAAAH7b//4=")</f>
        <v>#REF!</v>
      </c>
      <c r="IV1" t="e">
        <f>AND(Syllabus!F35,"AAAAAH7b//8=")</f>
        <v>#VALUE!</v>
      </c>
    </row>
    <row r="2" spans="1:256">
      <c r="A2">
        <f>IF(Syllabus!36:36,"AAAAAH/vfwA=",0)</f>
        <v>0</v>
      </c>
      <c r="B2" t="e">
        <f>AND(Syllabus!A36,"AAAAAH/vfwE=")</f>
        <v>#VALUE!</v>
      </c>
      <c r="C2" t="e">
        <f>AND(Syllabus!B36,"AAAAAH/vfwI=")</f>
        <v>#VALUE!</v>
      </c>
      <c r="D2" t="e">
        <f>AND(Syllabus!C36,"AAAAAH/vfwM=")</f>
        <v>#VALUE!</v>
      </c>
      <c r="E2" t="e">
        <f>AND(Syllabus!D36,"AAAAAH/vfwQ=")</f>
        <v>#VALUE!</v>
      </c>
      <c r="F2" t="e">
        <f>AND(Syllabus!E36,"AAAAAH/vfwU=")</f>
        <v>#VALUE!</v>
      </c>
      <c r="G2" t="e">
        <f>AND(Syllabus!#REF!,"AAAAAH/vfwY=")</f>
        <v>#REF!</v>
      </c>
      <c r="H2" t="e">
        <f>AND(Syllabus!F36,"AAAAAH/vfwc=")</f>
        <v>#VALUE!</v>
      </c>
      <c r="I2">
        <f>IF(Syllabus!37:37,"AAAAAH/vfwg=",0)</f>
        <v>0</v>
      </c>
      <c r="J2" t="e">
        <f>AND(Syllabus!A37,"AAAAAH/vfwk=")</f>
        <v>#VALUE!</v>
      </c>
      <c r="K2" t="e">
        <f>AND(Syllabus!B37,"AAAAAH/vfwo=")</f>
        <v>#VALUE!</v>
      </c>
      <c r="L2" t="e">
        <f>AND(Syllabus!C37,"AAAAAH/vfws=")</f>
        <v>#VALUE!</v>
      </c>
      <c r="M2" t="e">
        <f>AND(Syllabus!D37,"AAAAAH/vfww=")</f>
        <v>#VALUE!</v>
      </c>
      <c r="N2" t="e">
        <f>AND(Syllabus!E37,"AAAAAH/vfw0=")</f>
        <v>#VALUE!</v>
      </c>
      <c r="O2" t="e">
        <f>AND(Syllabus!#REF!,"AAAAAH/vfw4=")</f>
        <v>#REF!</v>
      </c>
      <c r="P2" t="e">
        <f>AND(Syllabus!F37,"AAAAAH/vfw8=")</f>
        <v>#VALUE!</v>
      </c>
      <c r="Q2" t="e">
        <f>IF(Syllabus!#REF!,"AAAAAH/vfxA=",0)</f>
        <v>#REF!</v>
      </c>
      <c r="R2" t="e">
        <f>IF(Syllabus!A:A,"AAAAAH/vfxE=",0)</f>
        <v>#VALUE!</v>
      </c>
      <c r="S2">
        <f>IF(Syllabus!B:B,"AAAAAH/vfxI=",0)</f>
        <v>0</v>
      </c>
      <c r="T2">
        <f>IF(Syllabus!C:C,"AAAAAH/vfxM=",0)</f>
        <v>0</v>
      </c>
      <c r="U2">
        <f>IF(Syllabus!D:D,"AAAAAH/vfxQ=",0)</f>
        <v>0</v>
      </c>
      <c r="V2">
        <f>IF(Syllabus!E:E,"AAAAAH/vfxU=",0)</f>
        <v>0</v>
      </c>
      <c r="W2" t="e">
        <f>IF(Syllabus!#REF!,"AAAAAH/vfxY=",0)</f>
        <v>#REF!</v>
      </c>
      <c r="X2">
        <f>IF(Syllabus!F:F,"AAAAAH/vfxc=",0)</f>
        <v>0</v>
      </c>
      <c r="Y2" t="e">
        <f>IF(#REF!,"AAAAAH/vfxg=",0)</f>
        <v>#REF!</v>
      </c>
      <c r="Z2" t="e">
        <f>AND(#REF!,"AAAAAH/vfxk=")</f>
        <v>#REF!</v>
      </c>
      <c r="AA2" t="e">
        <f>AND(#REF!,"AAAAAH/vfxo=")</f>
        <v>#REF!</v>
      </c>
      <c r="AB2" t="e">
        <f>AND(#REF!,"AAAAAH/vfxs=")</f>
        <v>#REF!</v>
      </c>
      <c r="AC2" t="e">
        <f>AND(#REF!,"AAAAAH/vfxw=")</f>
        <v>#REF!</v>
      </c>
      <c r="AD2" t="e">
        <f>AND(#REF!,"AAAAAH/vfx0=")</f>
        <v>#REF!</v>
      </c>
      <c r="AE2" t="e">
        <f>AND(#REF!,"AAAAAH/vfx4=")</f>
        <v>#REF!</v>
      </c>
      <c r="AF2" t="e">
        <f>IF(#REF!,"AAAAAH/vfx8=",0)</f>
        <v>#REF!</v>
      </c>
      <c r="AG2" t="e">
        <f>AND(#REF!,"AAAAAH/vfyA=")</f>
        <v>#REF!</v>
      </c>
      <c r="AH2" t="e">
        <f>AND(#REF!,"AAAAAH/vfyE=")</f>
        <v>#REF!</v>
      </c>
      <c r="AI2" t="e">
        <f>AND(#REF!,"AAAAAH/vfyI=")</f>
        <v>#REF!</v>
      </c>
      <c r="AJ2" t="e">
        <f>AND(#REF!,"AAAAAH/vfyM=")</f>
        <v>#REF!</v>
      </c>
      <c r="AK2" t="e">
        <f>AND(#REF!,"AAAAAH/vfyQ=")</f>
        <v>#REF!</v>
      </c>
      <c r="AL2" t="e">
        <f>AND(#REF!,"AAAAAH/vfyU=")</f>
        <v>#REF!</v>
      </c>
      <c r="AM2" t="e">
        <f>IF(#REF!,"AAAAAH/vfyY=",0)</f>
        <v>#REF!</v>
      </c>
      <c r="AN2" t="e">
        <f>AND(#REF!,"AAAAAH/vfyc=")</f>
        <v>#REF!</v>
      </c>
      <c r="AO2" t="e">
        <f>AND(#REF!,"AAAAAH/vfyg=")</f>
        <v>#REF!</v>
      </c>
      <c r="AP2" t="e">
        <f>AND(#REF!,"AAAAAH/vfyk=")</f>
        <v>#REF!</v>
      </c>
      <c r="AQ2" t="e">
        <f>AND(#REF!,"AAAAAH/vfyo=")</f>
        <v>#REF!</v>
      </c>
      <c r="AR2" t="e">
        <f>AND(#REF!,"AAAAAH/vfys=")</f>
        <v>#REF!</v>
      </c>
      <c r="AS2" t="e">
        <f>AND(#REF!,"AAAAAH/vfyw=")</f>
        <v>#REF!</v>
      </c>
      <c r="AT2" t="e">
        <f>IF(#REF!,"AAAAAH/vfy0=",0)</f>
        <v>#REF!</v>
      </c>
      <c r="AU2" t="e">
        <f>AND(#REF!,"AAAAAH/vfy4=")</f>
        <v>#REF!</v>
      </c>
      <c r="AV2" t="e">
        <f>AND(#REF!,"AAAAAH/vfy8=")</f>
        <v>#REF!</v>
      </c>
      <c r="AW2" t="e">
        <f>AND(#REF!,"AAAAAH/vfzA=")</f>
        <v>#REF!</v>
      </c>
      <c r="AX2" t="e">
        <f>AND(#REF!,"AAAAAH/vfzE=")</f>
        <v>#REF!</v>
      </c>
      <c r="AY2" t="e">
        <f>AND(#REF!,"AAAAAH/vfzI=")</f>
        <v>#REF!</v>
      </c>
      <c r="AZ2" t="e">
        <f>AND(#REF!,"AAAAAH/vfzM=")</f>
        <v>#REF!</v>
      </c>
      <c r="BA2" t="e">
        <f>IF(#REF!,"AAAAAH/vfzQ=",0)</f>
        <v>#REF!</v>
      </c>
      <c r="BB2" t="e">
        <f>AND(#REF!,"AAAAAH/vfzU=")</f>
        <v>#REF!</v>
      </c>
      <c r="BC2" t="e">
        <f>AND(#REF!,"AAAAAH/vfzY=")</f>
        <v>#REF!</v>
      </c>
      <c r="BD2" t="e">
        <f>AND(#REF!,"AAAAAH/vfzc=")</f>
        <v>#REF!</v>
      </c>
      <c r="BE2" t="e">
        <f>AND(#REF!,"AAAAAH/vfzg=")</f>
        <v>#REF!</v>
      </c>
      <c r="BF2" t="e">
        <f>AND(#REF!,"AAAAAH/vfzk=")</f>
        <v>#REF!</v>
      </c>
      <c r="BG2" t="e">
        <f>AND(#REF!,"AAAAAH/vfzo=")</f>
        <v>#REF!</v>
      </c>
      <c r="BH2" t="e">
        <f>IF(#REF!,"AAAAAH/vfzs=",0)</f>
        <v>#REF!</v>
      </c>
      <c r="BI2" t="e">
        <f>AND(#REF!,"AAAAAH/vfzw=")</f>
        <v>#REF!</v>
      </c>
      <c r="BJ2" t="e">
        <f>AND(#REF!,"AAAAAH/vfz0=")</f>
        <v>#REF!</v>
      </c>
      <c r="BK2" t="e">
        <f>AND(#REF!,"AAAAAH/vfz4=")</f>
        <v>#REF!</v>
      </c>
      <c r="BL2" t="e">
        <f>AND(#REF!,"AAAAAH/vfz8=")</f>
        <v>#REF!</v>
      </c>
      <c r="BM2" t="e">
        <f>AND(#REF!,"AAAAAH/vf0A=")</f>
        <v>#REF!</v>
      </c>
      <c r="BN2" t="e">
        <f>AND(#REF!,"AAAAAH/vf0E=")</f>
        <v>#REF!</v>
      </c>
      <c r="BO2" t="e">
        <f>IF(#REF!,"AAAAAH/vf0I=",0)</f>
        <v>#REF!</v>
      </c>
      <c r="BP2" t="e">
        <f>AND(#REF!,"AAAAAH/vf0M=")</f>
        <v>#REF!</v>
      </c>
      <c r="BQ2" t="e">
        <f>AND(#REF!,"AAAAAH/vf0Q=")</f>
        <v>#REF!</v>
      </c>
      <c r="BR2" t="e">
        <f>AND(#REF!,"AAAAAH/vf0U=")</f>
        <v>#REF!</v>
      </c>
      <c r="BS2" t="e">
        <f>AND(#REF!,"AAAAAH/vf0Y=")</f>
        <v>#REF!</v>
      </c>
      <c r="BT2" t="e">
        <f>AND(#REF!,"AAAAAH/vf0c=")</f>
        <v>#REF!</v>
      </c>
      <c r="BU2" t="e">
        <f>AND(#REF!,"AAAAAH/vf0g=")</f>
        <v>#REF!</v>
      </c>
      <c r="BV2" t="e">
        <f>IF(#REF!,"AAAAAH/vf0k=",0)</f>
        <v>#REF!</v>
      </c>
      <c r="BW2" t="e">
        <f>AND(#REF!,"AAAAAH/vf0o=")</f>
        <v>#REF!</v>
      </c>
      <c r="BX2" t="e">
        <f>AND(#REF!,"AAAAAH/vf0s=")</f>
        <v>#REF!</v>
      </c>
      <c r="BY2" t="e">
        <f>AND(#REF!,"AAAAAH/vf0w=")</f>
        <v>#REF!</v>
      </c>
      <c r="BZ2" t="e">
        <f>AND(#REF!,"AAAAAH/vf00=")</f>
        <v>#REF!</v>
      </c>
      <c r="CA2" t="e">
        <f>AND(#REF!,"AAAAAH/vf04=")</f>
        <v>#REF!</v>
      </c>
      <c r="CB2" t="e">
        <f>AND(#REF!,"AAAAAH/vf08=")</f>
        <v>#REF!</v>
      </c>
      <c r="CC2" t="e">
        <f>IF(#REF!,"AAAAAH/vf1A=",0)</f>
        <v>#REF!</v>
      </c>
      <c r="CD2" t="e">
        <f>AND(#REF!,"AAAAAH/vf1E=")</f>
        <v>#REF!</v>
      </c>
      <c r="CE2" t="e">
        <f>AND(#REF!,"AAAAAH/vf1I=")</f>
        <v>#REF!</v>
      </c>
      <c r="CF2" t="e">
        <f>AND(#REF!,"AAAAAH/vf1M=")</f>
        <v>#REF!</v>
      </c>
      <c r="CG2" t="e">
        <f>AND(#REF!,"AAAAAH/vf1Q=")</f>
        <v>#REF!</v>
      </c>
      <c r="CH2" t="e">
        <f>AND(#REF!,"AAAAAH/vf1U=")</f>
        <v>#REF!</v>
      </c>
      <c r="CI2" t="e">
        <f>AND(#REF!,"AAAAAH/vf1Y=")</f>
        <v>#REF!</v>
      </c>
      <c r="CJ2" t="e">
        <f>IF(#REF!,"AAAAAH/vf1c=",0)</f>
        <v>#REF!</v>
      </c>
      <c r="CK2" t="e">
        <f>AND(#REF!,"AAAAAH/vf1g=")</f>
        <v>#REF!</v>
      </c>
      <c r="CL2" t="e">
        <f>AND(#REF!,"AAAAAH/vf1k=")</f>
        <v>#REF!</v>
      </c>
      <c r="CM2" t="e">
        <f>AND(#REF!,"AAAAAH/vf1o=")</f>
        <v>#REF!</v>
      </c>
      <c r="CN2" t="e">
        <f>AND(#REF!,"AAAAAH/vf1s=")</f>
        <v>#REF!</v>
      </c>
      <c r="CO2" t="e">
        <f>AND(#REF!,"AAAAAH/vf1w=")</f>
        <v>#REF!</v>
      </c>
      <c r="CP2" t="e">
        <f>AND(#REF!,"AAAAAH/vf10=")</f>
        <v>#REF!</v>
      </c>
      <c r="CQ2" t="e">
        <f>IF(#REF!,"AAAAAH/vf14=",0)</f>
        <v>#REF!</v>
      </c>
      <c r="CR2" t="e">
        <f>AND(#REF!,"AAAAAH/vf18=")</f>
        <v>#REF!</v>
      </c>
      <c r="CS2" t="e">
        <f>AND(#REF!,"AAAAAH/vf2A=")</f>
        <v>#REF!</v>
      </c>
      <c r="CT2" t="e">
        <f>AND(#REF!,"AAAAAH/vf2E=")</f>
        <v>#REF!</v>
      </c>
      <c r="CU2" t="e">
        <f>AND(#REF!,"AAAAAH/vf2I=")</f>
        <v>#REF!</v>
      </c>
      <c r="CV2" t="e">
        <f>AND(#REF!,"AAAAAH/vf2M=")</f>
        <v>#REF!</v>
      </c>
      <c r="CW2" t="e">
        <f>AND(#REF!,"AAAAAH/vf2Q=")</f>
        <v>#REF!</v>
      </c>
      <c r="CX2" t="e">
        <f>IF(#REF!,"AAAAAH/vf2U=",0)</f>
        <v>#REF!</v>
      </c>
      <c r="CY2" t="e">
        <f>AND(#REF!,"AAAAAH/vf2Y=")</f>
        <v>#REF!</v>
      </c>
      <c r="CZ2" t="e">
        <f>AND(#REF!,"AAAAAH/vf2c=")</f>
        <v>#REF!</v>
      </c>
      <c r="DA2" t="e">
        <f>AND(#REF!,"AAAAAH/vf2g=")</f>
        <v>#REF!</v>
      </c>
      <c r="DB2" t="e">
        <f>AND(#REF!,"AAAAAH/vf2k=")</f>
        <v>#REF!</v>
      </c>
      <c r="DC2" t="e">
        <f>AND(#REF!,"AAAAAH/vf2o=")</f>
        <v>#REF!</v>
      </c>
      <c r="DD2" t="e">
        <f>AND(#REF!,"AAAAAH/vf2s=")</f>
        <v>#REF!</v>
      </c>
      <c r="DE2" t="e">
        <f>IF(#REF!,"AAAAAH/vf2w=",0)</f>
        <v>#REF!</v>
      </c>
      <c r="DF2" t="e">
        <f>AND(#REF!,"AAAAAH/vf20=")</f>
        <v>#REF!</v>
      </c>
      <c r="DG2" t="e">
        <f>AND(#REF!,"AAAAAH/vf24=")</f>
        <v>#REF!</v>
      </c>
      <c r="DH2" t="e">
        <f>AND(#REF!,"AAAAAH/vf28=")</f>
        <v>#REF!</v>
      </c>
      <c r="DI2" t="e">
        <f>AND(#REF!,"AAAAAH/vf3A=")</f>
        <v>#REF!</v>
      </c>
      <c r="DJ2" t="e">
        <f>AND(#REF!,"AAAAAH/vf3E=")</f>
        <v>#REF!</v>
      </c>
      <c r="DK2" t="e">
        <f>AND(#REF!,"AAAAAH/vf3I=")</f>
        <v>#REF!</v>
      </c>
      <c r="DL2" t="e">
        <f>IF(#REF!,"AAAAAH/vf3M=",0)</f>
        <v>#REF!</v>
      </c>
      <c r="DM2" t="e">
        <f>AND(#REF!,"AAAAAH/vf3Q=")</f>
        <v>#REF!</v>
      </c>
      <c r="DN2" t="e">
        <f>AND(#REF!,"AAAAAH/vf3U=")</f>
        <v>#REF!</v>
      </c>
      <c r="DO2" t="e">
        <f>AND(#REF!,"AAAAAH/vf3Y=")</f>
        <v>#REF!</v>
      </c>
      <c r="DP2" t="e">
        <f>AND(#REF!,"AAAAAH/vf3c=")</f>
        <v>#REF!</v>
      </c>
      <c r="DQ2" t="e">
        <f>AND(#REF!,"AAAAAH/vf3g=")</f>
        <v>#REF!</v>
      </c>
      <c r="DR2" t="e">
        <f>AND(#REF!,"AAAAAH/vf3k=")</f>
        <v>#REF!</v>
      </c>
      <c r="DS2" t="e">
        <f>IF(#REF!,"AAAAAH/vf3o=",0)</f>
        <v>#REF!</v>
      </c>
      <c r="DT2" t="e">
        <f>AND(#REF!,"AAAAAH/vf3s=")</f>
        <v>#REF!</v>
      </c>
      <c r="DU2" t="e">
        <f>AND(#REF!,"AAAAAH/vf3w=")</f>
        <v>#REF!</v>
      </c>
      <c r="DV2" t="e">
        <f>AND(#REF!,"AAAAAH/vf30=")</f>
        <v>#REF!</v>
      </c>
      <c r="DW2" t="e">
        <f>AND(#REF!,"AAAAAH/vf34=")</f>
        <v>#REF!</v>
      </c>
      <c r="DX2" t="e">
        <f>AND(#REF!,"AAAAAH/vf38=")</f>
        <v>#REF!</v>
      </c>
      <c r="DY2" t="e">
        <f>AND(#REF!,"AAAAAH/vf4A=")</f>
        <v>#REF!</v>
      </c>
      <c r="DZ2" t="e">
        <f>IF(#REF!,"AAAAAH/vf4E=",0)</f>
        <v>#REF!</v>
      </c>
      <c r="EA2" t="e">
        <f>AND(#REF!,"AAAAAH/vf4I=")</f>
        <v>#REF!</v>
      </c>
      <c r="EB2" t="e">
        <f>AND(#REF!,"AAAAAH/vf4M=")</f>
        <v>#REF!</v>
      </c>
      <c r="EC2" t="e">
        <f>AND(#REF!,"AAAAAH/vf4Q=")</f>
        <v>#REF!</v>
      </c>
      <c r="ED2" t="e">
        <f>AND(#REF!,"AAAAAH/vf4U=")</f>
        <v>#REF!</v>
      </c>
      <c r="EE2" t="e">
        <f>AND(#REF!,"AAAAAH/vf4Y=")</f>
        <v>#REF!</v>
      </c>
      <c r="EF2" t="e">
        <f>AND(#REF!,"AAAAAH/vf4c=")</f>
        <v>#REF!</v>
      </c>
      <c r="EG2" t="e">
        <f>IF(#REF!,"AAAAAH/vf4g=",0)</f>
        <v>#REF!</v>
      </c>
      <c r="EH2" t="e">
        <f>AND(#REF!,"AAAAAH/vf4k=")</f>
        <v>#REF!</v>
      </c>
      <c r="EI2" t="e">
        <f>AND(#REF!,"AAAAAH/vf4o=")</f>
        <v>#REF!</v>
      </c>
      <c r="EJ2" t="e">
        <f>AND(#REF!,"AAAAAH/vf4s=")</f>
        <v>#REF!</v>
      </c>
      <c r="EK2" t="e">
        <f>AND(#REF!,"AAAAAH/vf4w=")</f>
        <v>#REF!</v>
      </c>
      <c r="EL2" t="e">
        <f>AND(#REF!,"AAAAAH/vf40=")</f>
        <v>#REF!</v>
      </c>
      <c r="EM2" t="e">
        <f>AND(#REF!,"AAAAAH/vf44=")</f>
        <v>#REF!</v>
      </c>
      <c r="EN2" t="e">
        <f>IF(#REF!,"AAAAAH/vf48=",0)</f>
        <v>#REF!</v>
      </c>
      <c r="EO2" t="e">
        <f>AND(#REF!,"AAAAAH/vf5A=")</f>
        <v>#REF!</v>
      </c>
      <c r="EP2" t="e">
        <f>AND(#REF!,"AAAAAH/vf5E=")</f>
        <v>#REF!</v>
      </c>
      <c r="EQ2" t="e">
        <f>AND(#REF!,"AAAAAH/vf5I=")</f>
        <v>#REF!</v>
      </c>
      <c r="ER2" t="e">
        <f>AND(#REF!,"AAAAAH/vf5M=")</f>
        <v>#REF!</v>
      </c>
      <c r="ES2" t="e">
        <f>AND(#REF!,"AAAAAH/vf5Q=")</f>
        <v>#REF!</v>
      </c>
      <c r="ET2" t="e">
        <f>AND(#REF!,"AAAAAH/vf5U=")</f>
        <v>#REF!</v>
      </c>
      <c r="EU2" t="e">
        <f>IF(#REF!,"AAAAAH/vf5Y=",0)</f>
        <v>#REF!</v>
      </c>
      <c r="EV2" t="e">
        <f>AND(#REF!,"AAAAAH/vf5c=")</f>
        <v>#REF!</v>
      </c>
      <c r="EW2" t="e">
        <f>AND(#REF!,"AAAAAH/vf5g=")</f>
        <v>#REF!</v>
      </c>
      <c r="EX2" t="e">
        <f>AND(#REF!,"AAAAAH/vf5k=")</f>
        <v>#REF!</v>
      </c>
      <c r="EY2" t="e">
        <f>AND(#REF!,"AAAAAH/vf5o=")</f>
        <v>#REF!</v>
      </c>
      <c r="EZ2" t="e">
        <f>AND(#REF!,"AAAAAH/vf5s=")</f>
        <v>#REF!</v>
      </c>
      <c r="FA2" t="e">
        <f>AND(#REF!,"AAAAAH/vf5w=")</f>
        <v>#REF!</v>
      </c>
      <c r="FB2" t="e">
        <f>IF(#REF!,"AAAAAH/vf50=",0)</f>
        <v>#REF!</v>
      </c>
      <c r="FC2" t="e">
        <f>AND(#REF!,"AAAAAH/vf54=")</f>
        <v>#REF!</v>
      </c>
      <c r="FD2" t="e">
        <f>AND(#REF!,"AAAAAH/vf58=")</f>
        <v>#REF!</v>
      </c>
      <c r="FE2" t="e">
        <f>AND(#REF!,"AAAAAH/vf6A=")</f>
        <v>#REF!</v>
      </c>
      <c r="FF2" t="e">
        <f>AND(#REF!,"AAAAAH/vf6E=")</f>
        <v>#REF!</v>
      </c>
      <c r="FG2" t="e">
        <f>AND(#REF!,"AAAAAH/vf6I=")</f>
        <v>#REF!</v>
      </c>
      <c r="FH2" t="e">
        <f>AND(#REF!,"AAAAAH/vf6M=")</f>
        <v>#REF!</v>
      </c>
      <c r="FI2" t="e">
        <f>IF(#REF!,"AAAAAH/vf6Q=",0)</f>
        <v>#REF!</v>
      </c>
      <c r="FJ2" t="e">
        <f>AND(#REF!,"AAAAAH/vf6U=")</f>
        <v>#REF!</v>
      </c>
      <c r="FK2" t="e">
        <f>AND(#REF!,"AAAAAH/vf6Y=")</f>
        <v>#REF!</v>
      </c>
      <c r="FL2" t="e">
        <f>AND(#REF!,"AAAAAH/vf6c=")</f>
        <v>#REF!</v>
      </c>
      <c r="FM2" t="e">
        <f>AND(#REF!,"AAAAAH/vf6g=")</f>
        <v>#REF!</v>
      </c>
      <c r="FN2" t="e">
        <f>AND(#REF!,"AAAAAH/vf6k=")</f>
        <v>#REF!</v>
      </c>
      <c r="FO2" t="e">
        <f>AND(#REF!,"AAAAAH/vf6o=")</f>
        <v>#REF!</v>
      </c>
      <c r="FP2" t="e">
        <f>IF(#REF!,"AAAAAH/vf6s=",0)</f>
        <v>#REF!</v>
      </c>
      <c r="FQ2" t="e">
        <f>AND(#REF!,"AAAAAH/vf6w=")</f>
        <v>#REF!</v>
      </c>
      <c r="FR2" t="e">
        <f>AND(#REF!,"AAAAAH/vf60=")</f>
        <v>#REF!</v>
      </c>
      <c r="FS2" t="e">
        <f>AND(#REF!,"AAAAAH/vf64=")</f>
        <v>#REF!</v>
      </c>
      <c r="FT2" t="e">
        <f>AND(#REF!,"AAAAAH/vf68=")</f>
        <v>#REF!</v>
      </c>
      <c r="FU2" t="e">
        <f>AND(#REF!,"AAAAAH/vf7A=")</f>
        <v>#REF!</v>
      </c>
      <c r="FV2" t="e">
        <f>AND(#REF!,"AAAAAH/vf7E=")</f>
        <v>#REF!</v>
      </c>
      <c r="FW2" t="e">
        <f>IF(#REF!,"AAAAAH/vf7I=",0)</f>
        <v>#REF!</v>
      </c>
      <c r="FX2" t="e">
        <f>AND(#REF!,"AAAAAH/vf7M=")</f>
        <v>#REF!</v>
      </c>
      <c r="FY2" t="e">
        <f>AND(#REF!,"AAAAAH/vf7Q=")</f>
        <v>#REF!</v>
      </c>
      <c r="FZ2" t="e">
        <f>AND(#REF!,"AAAAAH/vf7U=")</f>
        <v>#REF!</v>
      </c>
      <c r="GA2" t="e">
        <f>AND(#REF!,"AAAAAH/vf7Y=")</f>
        <v>#REF!</v>
      </c>
      <c r="GB2" t="e">
        <f>AND(#REF!,"AAAAAH/vf7c=")</f>
        <v>#REF!</v>
      </c>
      <c r="GC2" t="e">
        <f>AND(#REF!,"AAAAAH/vf7g=")</f>
        <v>#REF!</v>
      </c>
      <c r="GD2" t="e">
        <f>IF(#REF!,"AAAAAH/vf7k=",0)</f>
        <v>#REF!</v>
      </c>
      <c r="GE2" t="e">
        <f>AND(#REF!,"AAAAAH/vf7o=")</f>
        <v>#REF!</v>
      </c>
      <c r="GF2" t="e">
        <f>AND(#REF!,"AAAAAH/vf7s=")</f>
        <v>#REF!</v>
      </c>
      <c r="GG2" t="e">
        <f>AND(#REF!,"AAAAAH/vf7w=")</f>
        <v>#REF!</v>
      </c>
      <c r="GH2" t="e">
        <f>AND(#REF!,"AAAAAH/vf70=")</f>
        <v>#REF!</v>
      </c>
      <c r="GI2" t="e">
        <f>AND(#REF!,"AAAAAH/vf74=")</f>
        <v>#REF!</v>
      </c>
      <c r="GJ2" t="e">
        <f>AND(#REF!,"AAAAAH/vf78=")</f>
        <v>#REF!</v>
      </c>
      <c r="GK2" t="e">
        <f>IF(#REF!,"AAAAAH/vf8A=",0)</f>
        <v>#REF!</v>
      </c>
      <c r="GL2" t="e">
        <f>AND(#REF!,"AAAAAH/vf8E=")</f>
        <v>#REF!</v>
      </c>
      <c r="GM2" t="e">
        <f>AND(#REF!,"AAAAAH/vf8I=")</f>
        <v>#REF!</v>
      </c>
      <c r="GN2" t="e">
        <f>AND(#REF!,"AAAAAH/vf8M=")</f>
        <v>#REF!</v>
      </c>
      <c r="GO2" t="e">
        <f>AND(#REF!,"AAAAAH/vf8Q=")</f>
        <v>#REF!</v>
      </c>
      <c r="GP2" t="e">
        <f>AND(#REF!,"AAAAAH/vf8U=")</f>
        <v>#REF!</v>
      </c>
      <c r="GQ2" t="e">
        <f>AND(#REF!,"AAAAAH/vf8Y=")</f>
        <v>#REF!</v>
      </c>
      <c r="GR2" t="e">
        <f>IF(#REF!,"AAAAAH/vf8c=",0)</f>
        <v>#REF!</v>
      </c>
      <c r="GS2" t="e">
        <f>AND(#REF!,"AAAAAH/vf8g=")</f>
        <v>#REF!</v>
      </c>
      <c r="GT2" t="e">
        <f>AND(#REF!,"AAAAAH/vf8k=")</f>
        <v>#REF!</v>
      </c>
      <c r="GU2" t="e">
        <f>AND(#REF!,"AAAAAH/vf8o=")</f>
        <v>#REF!</v>
      </c>
      <c r="GV2" t="e">
        <f>AND(#REF!,"AAAAAH/vf8s=")</f>
        <v>#REF!</v>
      </c>
      <c r="GW2" t="e">
        <f>AND(#REF!,"AAAAAH/vf8w=")</f>
        <v>#REF!</v>
      </c>
      <c r="GX2" t="e">
        <f>AND(#REF!,"AAAAAH/vf80=")</f>
        <v>#REF!</v>
      </c>
      <c r="GY2" t="e">
        <f>IF(#REF!,"AAAAAH/vf84=",0)</f>
        <v>#REF!</v>
      </c>
      <c r="GZ2" t="e">
        <f>AND(#REF!,"AAAAAH/vf88=")</f>
        <v>#REF!</v>
      </c>
      <c r="HA2" t="e">
        <f>AND(#REF!,"AAAAAH/vf9A=")</f>
        <v>#REF!</v>
      </c>
      <c r="HB2" t="e">
        <f>AND(#REF!,"AAAAAH/vf9E=")</f>
        <v>#REF!</v>
      </c>
      <c r="HC2" t="e">
        <f>AND(#REF!,"AAAAAH/vf9I=")</f>
        <v>#REF!</v>
      </c>
      <c r="HD2" t="e">
        <f>AND(#REF!,"AAAAAH/vf9M=")</f>
        <v>#REF!</v>
      </c>
      <c r="HE2" t="e">
        <f>AND(#REF!,"AAAAAH/vf9Q=")</f>
        <v>#REF!</v>
      </c>
      <c r="HF2" t="e">
        <f>IF(#REF!,"AAAAAH/vf9U=",0)</f>
        <v>#REF!</v>
      </c>
      <c r="HG2" t="e">
        <f>AND(#REF!,"AAAAAH/vf9Y=")</f>
        <v>#REF!</v>
      </c>
      <c r="HH2" t="e">
        <f>AND(#REF!,"AAAAAH/vf9c=")</f>
        <v>#REF!</v>
      </c>
      <c r="HI2" t="e">
        <f>AND(#REF!,"AAAAAH/vf9g=")</f>
        <v>#REF!</v>
      </c>
      <c r="HJ2" t="e">
        <f>AND(#REF!,"AAAAAH/vf9k=")</f>
        <v>#REF!</v>
      </c>
      <c r="HK2" t="e">
        <f>AND(#REF!,"AAAAAH/vf9o=")</f>
        <v>#REF!</v>
      </c>
      <c r="HL2" t="e">
        <f>AND(#REF!,"AAAAAH/vf9s=")</f>
        <v>#REF!</v>
      </c>
      <c r="HM2" t="e">
        <f>IF(#REF!,"AAAAAH/vf9w=",0)</f>
        <v>#REF!</v>
      </c>
      <c r="HN2" t="e">
        <f>AND(#REF!,"AAAAAH/vf90=")</f>
        <v>#REF!</v>
      </c>
      <c r="HO2" t="e">
        <f>AND(#REF!,"AAAAAH/vf94=")</f>
        <v>#REF!</v>
      </c>
      <c r="HP2" t="e">
        <f>AND(#REF!,"AAAAAH/vf98=")</f>
        <v>#REF!</v>
      </c>
      <c r="HQ2" t="e">
        <f>AND(#REF!,"AAAAAH/vf+A=")</f>
        <v>#REF!</v>
      </c>
      <c r="HR2" t="e">
        <f>AND(#REF!,"AAAAAH/vf+E=")</f>
        <v>#REF!</v>
      </c>
      <c r="HS2" t="e">
        <f>AND(#REF!,"AAAAAH/vf+I=")</f>
        <v>#REF!</v>
      </c>
      <c r="HT2" t="e">
        <f>IF(#REF!,"AAAAAH/vf+M=",0)</f>
        <v>#REF!</v>
      </c>
      <c r="HU2" t="e">
        <f>AND(#REF!,"AAAAAH/vf+Q=")</f>
        <v>#REF!</v>
      </c>
      <c r="HV2" t="e">
        <f>AND(#REF!,"AAAAAH/vf+U=")</f>
        <v>#REF!</v>
      </c>
      <c r="HW2" t="e">
        <f>AND(#REF!,"AAAAAH/vf+Y=")</f>
        <v>#REF!</v>
      </c>
      <c r="HX2" t="e">
        <f>AND(#REF!,"AAAAAH/vf+c=")</f>
        <v>#REF!</v>
      </c>
      <c r="HY2" t="e">
        <f>AND(#REF!,"AAAAAH/vf+g=")</f>
        <v>#REF!</v>
      </c>
      <c r="HZ2" t="e">
        <f>AND(#REF!,"AAAAAH/vf+k=")</f>
        <v>#REF!</v>
      </c>
      <c r="IA2" t="e">
        <f>IF(#REF!,"AAAAAH/vf+o=",0)</f>
        <v>#REF!</v>
      </c>
      <c r="IB2" t="e">
        <f>AND(#REF!,"AAAAAH/vf+s=")</f>
        <v>#REF!</v>
      </c>
      <c r="IC2" t="e">
        <f>AND(#REF!,"AAAAAH/vf+w=")</f>
        <v>#REF!</v>
      </c>
      <c r="ID2" t="e">
        <f>AND(#REF!,"AAAAAH/vf+0=")</f>
        <v>#REF!</v>
      </c>
      <c r="IE2" t="e">
        <f>AND(#REF!,"AAAAAH/vf+4=")</f>
        <v>#REF!</v>
      </c>
      <c r="IF2" t="e">
        <f>AND(#REF!,"AAAAAH/vf+8=")</f>
        <v>#REF!</v>
      </c>
      <c r="IG2" t="e">
        <f>AND(#REF!,"AAAAAH/vf/A=")</f>
        <v>#REF!</v>
      </c>
      <c r="IH2" t="e">
        <f>IF(#REF!,"AAAAAH/vf/E=",0)</f>
        <v>#REF!</v>
      </c>
      <c r="II2" t="e">
        <f>AND(#REF!,"AAAAAH/vf/I=")</f>
        <v>#REF!</v>
      </c>
      <c r="IJ2" t="e">
        <f>AND(#REF!,"AAAAAH/vf/M=")</f>
        <v>#REF!</v>
      </c>
      <c r="IK2" t="e">
        <f>AND(#REF!,"AAAAAH/vf/Q=")</f>
        <v>#REF!</v>
      </c>
      <c r="IL2" t="e">
        <f>AND(#REF!,"AAAAAH/vf/U=")</f>
        <v>#REF!</v>
      </c>
      <c r="IM2" t="e">
        <f>AND(#REF!,"AAAAAH/vf/Y=")</f>
        <v>#REF!</v>
      </c>
      <c r="IN2" t="e">
        <f>AND(#REF!,"AAAAAH/vf/c=")</f>
        <v>#REF!</v>
      </c>
      <c r="IO2" t="e">
        <f>IF(#REF!,"AAAAAH/vf/g=",0)</f>
        <v>#REF!</v>
      </c>
      <c r="IP2" t="e">
        <f>AND(#REF!,"AAAAAH/vf/k=")</f>
        <v>#REF!</v>
      </c>
      <c r="IQ2" t="e">
        <f>AND(#REF!,"AAAAAH/vf/o=")</f>
        <v>#REF!</v>
      </c>
      <c r="IR2" t="e">
        <f>AND(#REF!,"AAAAAH/vf/s=")</f>
        <v>#REF!</v>
      </c>
      <c r="IS2" t="e">
        <f>AND(#REF!,"AAAAAH/vf/w=")</f>
        <v>#REF!</v>
      </c>
      <c r="IT2" t="e">
        <f>AND(#REF!,"AAAAAH/vf/0=")</f>
        <v>#REF!</v>
      </c>
      <c r="IU2" t="e">
        <f>AND(#REF!,"AAAAAH/vf/4=")</f>
        <v>#REF!</v>
      </c>
      <c r="IV2" t="e">
        <f>IF(#REF!,"AAAAAH/vf/8=",0)</f>
        <v>#REF!</v>
      </c>
    </row>
    <row r="3" spans="1:256">
      <c r="A3" t="e">
        <f>AND(#REF!,"AAAAABPz/wA=")</f>
        <v>#REF!</v>
      </c>
      <c r="B3" t="e">
        <f>AND(#REF!,"AAAAABPz/wE=")</f>
        <v>#REF!</v>
      </c>
      <c r="C3" t="e">
        <f>AND(#REF!,"AAAAABPz/wI=")</f>
        <v>#REF!</v>
      </c>
      <c r="D3" t="e">
        <f>AND(#REF!,"AAAAABPz/wM=")</f>
        <v>#REF!</v>
      </c>
      <c r="E3" t="e">
        <f>AND(#REF!,"AAAAABPz/wQ=")</f>
        <v>#REF!</v>
      </c>
      <c r="F3" t="e">
        <f>AND(#REF!,"AAAAABPz/wU=")</f>
        <v>#REF!</v>
      </c>
      <c r="G3" t="e">
        <f>IF(#REF!,"AAAAABPz/wY=",0)</f>
        <v>#REF!</v>
      </c>
      <c r="H3" t="e">
        <f>AND(#REF!,"AAAAABPz/wc=")</f>
        <v>#REF!</v>
      </c>
      <c r="I3" t="e">
        <f>AND(#REF!,"AAAAABPz/wg=")</f>
        <v>#REF!</v>
      </c>
      <c r="J3" t="e">
        <f>AND(#REF!,"AAAAABPz/wk=")</f>
        <v>#REF!</v>
      </c>
      <c r="K3" t="e">
        <f>AND(#REF!,"AAAAABPz/wo=")</f>
        <v>#REF!</v>
      </c>
      <c r="L3" t="e">
        <f>AND(#REF!,"AAAAABPz/ws=")</f>
        <v>#REF!</v>
      </c>
      <c r="M3" t="e">
        <f>AND(#REF!,"AAAAABPz/ww=")</f>
        <v>#REF!</v>
      </c>
      <c r="N3" t="e">
        <f>IF(#REF!,"AAAAABPz/w0=",0)</f>
        <v>#REF!</v>
      </c>
      <c r="O3" t="e">
        <f>AND(#REF!,"AAAAABPz/w4=")</f>
        <v>#REF!</v>
      </c>
      <c r="P3" t="e">
        <f>AND(#REF!,"AAAAABPz/w8=")</f>
        <v>#REF!</v>
      </c>
      <c r="Q3" t="e">
        <f>AND(#REF!,"AAAAABPz/xA=")</f>
        <v>#REF!</v>
      </c>
      <c r="R3" t="e">
        <f>AND(#REF!,"AAAAABPz/xE=")</f>
        <v>#REF!</v>
      </c>
      <c r="S3" t="e">
        <f>AND(#REF!,"AAAAABPz/xI=")</f>
        <v>#REF!</v>
      </c>
      <c r="T3" t="e">
        <f>AND(#REF!,"AAAAABPz/xM=")</f>
        <v>#REF!</v>
      </c>
      <c r="U3" t="e">
        <f>IF(#REF!,"AAAAABPz/xQ=",0)</f>
        <v>#REF!</v>
      </c>
      <c r="V3" t="e">
        <f>AND(#REF!,"AAAAABPz/xU=")</f>
        <v>#REF!</v>
      </c>
      <c r="W3" t="e">
        <f>AND(#REF!,"AAAAABPz/xY=")</f>
        <v>#REF!</v>
      </c>
      <c r="X3" t="e">
        <f>AND(#REF!,"AAAAABPz/xc=")</f>
        <v>#REF!</v>
      </c>
      <c r="Y3" t="e">
        <f>AND(#REF!,"AAAAABPz/xg=")</f>
        <v>#REF!</v>
      </c>
      <c r="Z3" t="e">
        <f>AND(#REF!,"AAAAABPz/xk=")</f>
        <v>#REF!</v>
      </c>
      <c r="AA3" t="e">
        <f>AND(#REF!,"AAAAABPz/xo=")</f>
        <v>#REF!</v>
      </c>
      <c r="AB3" t="e">
        <f>IF(#REF!,"AAAAABPz/xs=",0)</f>
        <v>#REF!</v>
      </c>
      <c r="AC3" t="e">
        <f>AND(#REF!,"AAAAABPz/xw=")</f>
        <v>#REF!</v>
      </c>
      <c r="AD3" t="e">
        <f>AND(#REF!,"AAAAABPz/x0=")</f>
        <v>#REF!</v>
      </c>
      <c r="AE3" t="e">
        <f>AND(#REF!,"AAAAABPz/x4=")</f>
        <v>#REF!</v>
      </c>
      <c r="AF3" t="e">
        <f>AND(#REF!,"AAAAABPz/x8=")</f>
        <v>#REF!</v>
      </c>
      <c r="AG3" t="e">
        <f>AND(#REF!,"AAAAABPz/yA=")</f>
        <v>#REF!</v>
      </c>
      <c r="AH3" t="e">
        <f>AND(#REF!,"AAAAABPz/yE=")</f>
        <v>#REF!</v>
      </c>
      <c r="AI3" t="e">
        <f>IF(#REF!,"AAAAABPz/yI=",0)</f>
        <v>#REF!</v>
      </c>
      <c r="AJ3" t="e">
        <f>AND(#REF!,"AAAAABPz/yM=")</f>
        <v>#REF!</v>
      </c>
      <c r="AK3" t="e">
        <f>AND(#REF!,"AAAAABPz/yQ=")</f>
        <v>#REF!</v>
      </c>
      <c r="AL3" t="e">
        <f>AND(#REF!,"AAAAABPz/yU=")</f>
        <v>#REF!</v>
      </c>
      <c r="AM3" t="e">
        <f>AND(#REF!,"AAAAABPz/yY=")</f>
        <v>#REF!</v>
      </c>
      <c r="AN3" t="e">
        <f>AND(#REF!,"AAAAABPz/yc=")</f>
        <v>#REF!</v>
      </c>
      <c r="AO3" t="e">
        <f>AND(#REF!,"AAAAABPz/yg=")</f>
        <v>#REF!</v>
      </c>
      <c r="AP3" t="e">
        <f>IF(#REF!,"AAAAABPz/yk=",0)</f>
        <v>#REF!</v>
      </c>
      <c r="AQ3" t="e">
        <f>AND(#REF!,"AAAAABPz/yo=")</f>
        <v>#REF!</v>
      </c>
      <c r="AR3" t="e">
        <f>AND(#REF!,"AAAAABPz/ys=")</f>
        <v>#REF!</v>
      </c>
      <c r="AS3" t="e">
        <f>AND(#REF!,"AAAAABPz/yw=")</f>
        <v>#REF!</v>
      </c>
      <c r="AT3" t="e">
        <f>AND(#REF!,"AAAAABPz/y0=")</f>
        <v>#REF!</v>
      </c>
      <c r="AU3" t="e">
        <f>AND(#REF!,"AAAAABPz/y4=")</f>
        <v>#REF!</v>
      </c>
      <c r="AV3" t="e">
        <f>AND(#REF!,"AAAAABPz/y8=")</f>
        <v>#REF!</v>
      </c>
      <c r="AW3" t="e">
        <f>IF(#REF!,"AAAAABPz/zA=",0)</f>
        <v>#REF!</v>
      </c>
      <c r="AX3" t="e">
        <f>AND(#REF!,"AAAAABPz/zE=")</f>
        <v>#REF!</v>
      </c>
      <c r="AY3" t="e">
        <f>AND(#REF!,"AAAAABPz/zI=")</f>
        <v>#REF!</v>
      </c>
      <c r="AZ3" t="e">
        <f>AND(#REF!,"AAAAABPz/zM=")</f>
        <v>#REF!</v>
      </c>
      <c r="BA3" t="e">
        <f>AND(#REF!,"AAAAABPz/zQ=")</f>
        <v>#REF!</v>
      </c>
      <c r="BB3" t="e">
        <f>AND(#REF!,"AAAAABPz/zU=")</f>
        <v>#REF!</v>
      </c>
      <c r="BC3" t="e">
        <f>AND(#REF!,"AAAAABPz/zY=")</f>
        <v>#REF!</v>
      </c>
      <c r="BD3" t="e">
        <f>IF(#REF!,"AAAAABPz/zc=",0)</f>
        <v>#REF!</v>
      </c>
      <c r="BE3" t="e">
        <f>AND(#REF!,"AAAAABPz/zg=")</f>
        <v>#REF!</v>
      </c>
      <c r="BF3" t="e">
        <f>AND(#REF!,"AAAAABPz/zk=")</f>
        <v>#REF!</v>
      </c>
      <c r="BG3" t="e">
        <f>AND(#REF!,"AAAAABPz/zo=")</f>
        <v>#REF!</v>
      </c>
      <c r="BH3" t="e">
        <f>AND(#REF!,"AAAAABPz/zs=")</f>
        <v>#REF!</v>
      </c>
      <c r="BI3" t="e">
        <f>AND(#REF!,"AAAAABPz/zw=")</f>
        <v>#REF!</v>
      </c>
      <c r="BJ3" t="e">
        <f>AND(#REF!,"AAAAABPz/z0=")</f>
        <v>#REF!</v>
      </c>
      <c r="BK3" t="e">
        <f>IF(#REF!,"AAAAABPz/z4=",0)</f>
        <v>#REF!</v>
      </c>
      <c r="BL3" t="e">
        <f>AND(#REF!,"AAAAABPz/z8=")</f>
        <v>#REF!</v>
      </c>
      <c r="BM3" t="e">
        <f>AND(#REF!,"AAAAABPz/0A=")</f>
        <v>#REF!</v>
      </c>
      <c r="BN3" t="e">
        <f>AND(#REF!,"AAAAABPz/0E=")</f>
        <v>#REF!</v>
      </c>
      <c r="BO3" t="e">
        <f>AND(#REF!,"AAAAABPz/0I=")</f>
        <v>#REF!</v>
      </c>
      <c r="BP3" t="e">
        <f>AND(#REF!,"AAAAABPz/0M=")</f>
        <v>#REF!</v>
      </c>
      <c r="BQ3" t="e">
        <f>AND(#REF!,"AAAAABPz/0Q=")</f>
        <v>#REF!</v>
      </c>
      <c r="BR3" t="e">
        <f>IF(#REF!,"AAAAABPz/0U=",0)</f>
        <v>#REF!</v>
      </c>
      <c r="BS3" t="e">
        <f>AND(#REF!,"AAAAABPz/0Y=")</f>
        <v>#REF!</v>
      </c>
      <c r="BT3" t="e">
        <f>AND(#REF!,"AAAAABPz/0c=")</f>
        <v>#REF!</v>
      </c>
      <c r="BU3" t="e">
        <f>AND(#REF!,"AAAAABPz/0g=")</f>
        <v>#REF!</v>
      </c>
      <c r="BV3" t="e">
        <f>AND(#REF!,"AAAAABPz/0k=")</f>
        <v>#REF!</v>
      </c>
      <c r="BW3" t="e">
        <f>AND(#REF!,"AAAAABPz/0o=")</f>
        <v>#REF!</v>
      </c>
      <c r="BX3" t="e">
        <f>AND(#REF!,"AAAAABPz/0s=")</f>
        <v>#REF!</v>
      </c>
      <c r="BY3" t="e">
        <f>IF(#REF!,"AAAAABPz/0w=",0)</f>
        <v>#REF!</v>
      </c>
      <c r="BZ3" t="e">
        <f>AND(#REF!,"AAAAABPz/00=")</f>
        <v>#REF!</v>
      </c>
      <c r="CA3" t="e">
        <f>AND(#REF!,"AAAAABPz/04=")</f>
        <v>#REF!</v>
      </c>
      <c r="CB3" t="e">
        <f>AND(#REF!,"AAAAABPz/08=")</f>
        <v>#REF!</v>
      </c>
      <c r="CC3" t="e">
        <f>AND(#REF!,"AAAAABPz/1A=")</f>
        <v>#REF!</v>
      </c>
      <c r="CD3" t="e">
        <f>AND(#REF!,"AAAAABPz/1E=")</f>
        <v>#REF!</v>
      </c>
      <c r="CE3" t="e">
        <f>AND(#REF!,"AAAAABPz/1I=")</f>
        <v>#REF!</v>
      </c>
      <c r="CF3" t="e">
        <f>IF(#REF!,"AAAAABPz/1M=",0)</f>
        <v>#REF!</v>
      </c>
      <c r="CG3" t="e">
        <f>AND(#REF!,"AAAAABPz/1Q=")</f>
        <v>#REF!</v>
      </c>
      <c r="CH3" t="e">
        <f>AND(#REF!,"AAAAABPz/1U=")</f>
        <v>#REF!</v>
      </c>
      <c r="CI3" t="e">
        <f>AND(#REF!,"AAAAABPz/1Y=")</f>
        <v>#REF!</v>
      </c>
      <c r="CJ3" t="e">
        <f>AND(#REF!,"AAAAABPz/1c=")</f>
        <v>#REF!</v>
      </c>
      <c r="CK3" t="e">
        <f>AND(#REF!,"AAAAABPz/1g=")</f>
        <v>#REF!</v>
      </c>
      <c r="CL3" t="e">
        <f>AND(#REF!,"AAAAABPz/1k=")</f>
        <v>#REF!</v>
      </c>
      <c r="CM3" t="e">
        <f>IF(#REF!,"AAAAABPz/1o=",0)</f>
        <v>#REF!</v>
      </c>
      <c r="CN3" t="e">
        <f>AND(#REF!,"AAAAABPz/1s=")</f>
        <v>#REF!</v>
      </c>
      <c r="CO3" t="e">
        <f>AND(#REF!,"AAAAABPz/1w=")</f>
        <v>#REF!</v>
      </c>
      <c r="CP3" t="e">
        <f>AND(#REF!,"AAAAABPz/10=")</f>
        <v>#REF!</v>
      </c>
      <c r="CQ3" t="e">
        <f>AND(#REF!,"AAAAABPz/14=")</f>
        <v>#REF!</v>
      </c>
      <c r="CR3" t="e">
        <f>AND(#REF!,"AAAAABPz/18=")</f>
        <v>#REF!</v>
      </c>
      <c r="CS3" t="e">
        <f>AND(#REF!,"AAAAABPz/2A=")</f>
        <v>#REF!</v>
      </c>
      <c r="CT3" t="e">
        <f>IF(#REF!,"AAAAABPz/2E=",0)</f>
        <v>#REF!</v>
      </c>
      <c r="CU3" t="e">
        <f>AND(#REF!,"AAAAABPz/2I=")</f>
        <v>#REF!</v>
      </c>
      <c r="CV3" t="e">
        <f>AND(#REF!,"AAAAABPz/2M=")</f>
        <v>#REF!</v>
      </c>
      <c r="CW3" t="e">
        <f>AND(#REF!,"AAAAABPz/2Q=")</f>
        <v>#REF!</v>
      </c>
      <c r="CX3" t="e">
        <f>AND(#REF!,"AAAAABPz/2U=")</f>
        <v>#REF!</v>
      </c>
      <c r="CY3" t="e">
        <f>AND(#REF!,"AAAAABPz/2Y=")</f>
        <v>#REF!</v>
      </c>
      <c r="CZ3" t="e">
        <f>AND(#REF!,"AAAAABPz/2c=")</f>
        <v>#REF!</v>
      </c>
      <c r="DA3" t="e">
        <f>IF(#REF!,"AAAAABPz/2g=",0)</f>
        <v>#REF!</v>
      </c>
      <c r="DB3" t="e">
        <f>AND(#REF!,"AAAAABPz/2k=")</f>
        <v>#REF!</v>
      </c>
      <c r="DC3" t="e">
        <f>AND(#REF!,"AAAAABPz/2o=")</f>
        <v>#REF!</v>
      </c>
      <c r="DD3" t="e">
        <f>AND(#REF!,"AAAAABPz/2s=")</f>
        <v>#REF!</v>
      </c>
      <c r="DE3" t="e">
        <f>AND(#REF!,"AAAAABPz/2w=")</f>
        <v>#REF!</v>
      </c>
      <c r="DF3" t="e">
        <f>AND(#REF!,"AAAAABPz/20=")</f>
        <v>#REF!</v>
      </c>
      <c r="DG3" t="e">
        <f>AND(#REF!,"AAAAABPz/24=")</f>
        <v>#REF!</v>
      </c>
      <c r="DH3" t="e">
        <f>IF(#REF!,"AAAAABPz/28=",0)</f>
        <v>#REF!</v>
      </c>
      <c r="DI3" t="e">
        <f>AND(#REF!,"AAAAABPz/3A=")</f>
        <v>#REF!</v>
      </c>
      <c r="DJ3" t="e">
        <f>AND(#REF!,"AAAAABPz/3E=")</f>
        <v>#REF!</v>
      </c>
      <c r="DK3" t="e">
        <f>AND(#REF!,"AAAAABPz/3I=")</f>
        <v>#REF!</v>
      </c>
      <c r="DL3" t="e">
        <f>AND(#REF!,"AAAAABPz/3M=")</f>
        <v>#REF!</v>
      </c>
      <c r="DM3" t="e">
        <f>AND(#REF!,"AAAAABPz/3Q=")</f>
        <v>#REF!</v>
      </c>
      <c r="DN3" t="e">
        <f>AND(#REF!,"AAAAABPz/3U=")</f>
        <v>#REF!</v>
      </c>
      <c r="DO3" t="e">
        <f>IF(#REF!,"AAAAABPz/3Y=",0)</f>
        <v>#REF!</v>
      </c>
      <c r="DP3" t="e">
        <f>AND(#REF!,"AAAAABPz/3c=")</f>
        <v>#REF!</v>
      </c>
      <c r="DQ3" t="e">
        <f>AND(#REF!,"AAAAABPz/3g=")</f>
        <v>#REF!</v>
      </c>
      <c r="DR3" t="e">
        <f>AND(#REF!,"AAAAABPz/3k=")</f>
        <v>#REF!</v>
      </c>
      <c r="DS3" t="e">
        <f>AND(#REF!,"AAAAABPz/3o=")</f>
        <v>#REF!</v>
      </c>
      <c r="DT3" t="e">
        <f>AND(#REF!,"AAAAABPz/3s=")</f>
        <v>#REF!</v>
      </c>
      <c r="DU3" t="e">
        <f>IF(#REF!,"AAAAABPz/3w=",0)</f>
        <v>#REF!</v>
      </c>
      <c r="DV3" t="e">
        <f>IF(#REF!,"AAAAABPz/30=",0)</f>
        <v>#REF!</v>
      </c>
      <c r="DW3" t="e">
        <f>IF(#REF!,"AAAAABPz/34=",0)</f>
        <v>#REF!</v>
      </c>
      <c r="DX3" t="e">
        <f>IF(#REF!,"AAAAABPz/38=",0)</f>
        <v>#REF!</v>
      </c>
      <c r="DY3" t="e">
        <f>IF(#REF!,"AAAAABPz/4A=",0)</f>
        <v>#REF!</v>
      </c>
      <c r="DZ3" t="e">
        <f>IF(#REF!,"AAAAABPz/4E=",0)</f>
        <v>#REF!</v>
      </c>
      <c r="EA3" t="e">
        <f>IF(#REF!,"AAAAABPz/4I=",0)</f>
        <v>#REF!</v>
      </c>
      <c r="EB3">
        <f>IF('Author and Rec of Changes'!1:1,"AAAAABPz/4M=",0)</f>
        <v>0</v>
      </c>
      <c r="EC3" t="e">
        <f>AND('Author and Rec of Changes'!A1,"AAAAABPz/4Q=")</f>
        <v>#VALUE!</v>
      </c>
      <c r="ED3" t="e">
        <f>AND('Author and Rec of Changes'!B1,"AAAAABPz/4U=")</f>
        <v>#VALUE!</v>
      </c>
      <c r="EE3" t="e">
        <f>AND('Author and Rec of Changes'!C1,"AAAAABPz/4Y=")</f>
        <v>#VALUE!</v>
      </c>
      <c r="EF3" t="e">
        <f>AND('Author and Rec of Changes'!E1,"AAAAABPz/4c=")</f>
        <v>#VALUE!</v>
      </c>
      <c r="EG3" t="e">
        <f>AND('Author and Rec of Changes'!F1,"AAAAABPz/4g=")</f>
        <v>#VALUE!</v>
      </c>
      <c r="EH3" t="e">
        <f>AND('Author and Rec of Changes'!G1,"AAAAABPz/4k=")</f>
        <v>#VALUE!</v>
      </c>
      <c r="EI3" t="e">
        <f>IF('Author and Rec of Changes'!#REF!,"AAAAABPz/4o=",0)</f>
        <v>#REF!</v>
      </c>
      <c r="EJ3" t="e">
        <f>AND('Author and Rec of Changes'!#REF!,"AAAAABPz/4s=")</f>
        <v>#REF!</v>
      </c>
      <c r="EK3" t="e">
        <f>AND('Author and Rec of Changes'!#REF!,"AAAAABPz/4w=")</f>
        <v>#REF!</v>
      </c>
      <c r="EL3" t="e">
        <f>AND('Author and Rec of Changes'!#REF!,"AAAAABPz/40=")</f>
        <v>#REF!</v>
      </c>
      <c r="EM3" t="e">
        <f>AND('Author and Rec of Changes'!#REF!,"AAAAABPz/44=")</f>
        <v>#REF!</v>
      </c>
      <c r="EN3" t="e">
        <f>AND('Author and Rec of Changes'!#REF!,"AAAAABPz/48=")</f>
        <v>#REF!</v>
      </c>
      <c r="EO3" t="e">
        <f>AND('Author and Rec of Changes'!#REF!,"AAAAABPz/5A=")</f>
        <v>#REF!</v>
      </c>
      <c r="EP3">
        <f>IF('Author and Rec of Changes'!2:2,"AAAAABPz/5E=",0)</f>
        <v>0</v>
      </c>
      <c r="EQ3" t="e">
        <f>AND('Author and Rec of Changes'!A2,"AAAAABPz/5I=")</f>
        <v>#VALUE!</v>
      </c>
      <c r="ER3" t="e">
        <f>AND('Author and Rec of Changes'!B2,"AAAAABPz/5M=")</f>
        <v>#VALUE!</v>
      </c>
      <c r="ES3" t="e">
        <f>AND('Author and Rec of Changes'!C2,"AAAAABPz/5Q=")</f>
        <v>#VALUE!</v>
      </c>
      <c r="ET3" t="e">
        <f>AND('Author and Rec of Changes'!E2,"AAAAABPz/5U=")</f>
        <v>#VALUE!</v>
      </c>
      <c r="EU3" t="e">
        <f>AND('Author and Rec of Changes'!F2,"AAAAABPz/5Y=")</f>
        <v>#VALUE!</v>
      </c>
      <c r="EV3" t="e">
        <f>AND('Author and Rec of Changes'!G2,"AAAAABPz/5c=")</f>
        <v>#VALUE!</v>
      </c>
      <c r="EW3">
        <f>IF('Author and Rec of Changes'!3:3,"AAAAABPz/5g=",0)</f>
        <v>0</v>
      </c>
      <c r="EX3" t="e">
        <f>AND('Author and Rec of Changes'!A3,"AAAAABPz/5k=")</f>
        <v>#VALUE!</v>
      </c>
      <c r="EY3" t="e">
        <f>AND('Author and Rec of Changes'!B3,"AAAAABPz/5o=")</f>
        <v>#VALUE!</v>
      </c>
      <c r="EZ3" t="e">
        <f>AND('Author and Rec of Changes'!C3,"AAAAABPz/5s=")</f>
        <v>#VALUE!</v>
      </c>
      <c r="FA3" t="e">
        <f>AND('Author and Rec of Changes'!E3,"AAAAABPz/5w=")</f>
        <v>#VALUE!</v>
      </c>
      <c r="FB3" t="e">
        <f>AND('Author and Rec of Changes'!F3,"AAAAABPz/50=")</f>
        <v>#VALUE!</v>
      </c>
      <c r="FC3" t="e">
        <f>AND('Author and Rec of Changes'!G3,"AAAAABPz/54=")</f>
        <v>#VALUE!</v>
      </c>
      <c r="FD3" t="e">
        <f>IF('Author and Rec of Changes'!#REF!,"AAAAABPz/58=",0)</f>
        <v>#REF!</v>
      </c>
      <c r="FE3" t="e">
        <f>AND('Author and Rec of Changes'!#REF!,"AAAAABPz/6A=")</f>
        <v>#REF!</v>
      </c>
      <c r="FF3" t="e">
        <f>AND('Author and Rec of Changes'!#REF!,"AAAAABPz/6E=")</f>
        <v>#REF!</v>
      </c>
      <c r="FG3" t="e">
        <f>AND('Author and Rec of Changes'!#REF!,"AAAAABPz/6I=")</f>
        <v>#REF!</v>
      </c>
      <c r="FH3" t="e">
        <f>AND('Author and Rec of Changes'!#REF!,"AAAAABPz/6M=")</f>
        <v>#REF!</v>
      </c>
      <c r="FI3" t="e">
        <f>AND('Author and Rec of Changes'!#REF!,"AAAAABPz/6Q=")</f>
        <v>#REF!</v>
      </c>
      <c r="FJ3" t="e">
        <f>AND('Author and Rec of Changes'!#REF!,"AAAAABPz/6U=")</f>
        <v>#REF!</v>
      </c>
      <c r="FK3" t="e">
        <f>IF('Author and Rec of Changes'!#REF!,"AAAAABPz/6Y=",0)</f>
        <v>#REF!</v>
      </c>
      <c r="FL3" t="e">
        <f>AND('Author and Rec of Changes'!#REF!,"AAAAABPz/6c=")</f>
        <v>#REF!</v>
      </c>
      <c r="FM3" t="e">
        <f>AND('Author and Rec of Changes'!#REF!,"AAAAABPz/6g=")</f>
        <v>#REF!</v>
      </c>
      <c r="FN3" t="e">
        <f>AND('Author and Rec of Changes'!#REF!,"AAAAABPz/6k=")</f>
        <v>#REF!</v>
      </c>
      <c r="FO3" t="e">
        <f>AND('Author and Rec of Changes'!#REF!,"AAAAABPz/6o=")</f>
        <v>#REF!</v>
      </c>
      <c r="FP3" t="e">
        <f>AND('Author and Rec of Changes'!#REF!,"AAAAABPz/6s=")</f>
        <v>#REF!</v>
      </c>
      <c r="FQ3" t="e">
        <f>AND('Author and Rec of Changes'!#REF!,"AAAAABPz/6w=")</f>
        <v>#REF!</v>
      </c>
      <c r="FR3">
        <f>IF('Author and Rec of Changes'!4:4,"AAAAABPz/60=",0)</f>
        <v>0</v>
      </c>
      <c r="FS3" t="e">
        <f>AND('Author and Rec of Changes'!A4,"AAAAABPz/64=")</f>
        <v>#VALUE!</v>
      </c>
      <c r="FT3" t="e">
        <f>AND('Author and Rec of Changes'!B4,"AAAAABPz/68=")</f>
        <v>#VALUE!</v>
      </c>
      <c r="FU3" t="e">
        <f>AND('Author and Rec of Changes'!C4,"AAAAABPz/7A=")</f>
        <v>#VALUE!</v>
      </c>
      <c r="FV3" t="e">
        <f>AND('Author and Rec of Changes'!E4,"AAAAABPz/7E=")</f>
        <v>#VALUE!</v>
      </c>
      <c r="FW3" t="e">
        <f>AND('Author and Rec of Changes'!F4,"AAAAABPz/7I=")</f>
        <v>#VALUE!</v>
      </c>
      <c r="FX3" t="e">
        <f>AND('Author and Rec of Changes'!G4,"AAAAABPz/7M=")</f>
        <v>#VALUE!</v>
      </c>
      <c r="FY3" t="e">
        <f>IF('Author and Rec of Changes'!#REF!,"AAAAABPz/7Q=",0)</f>
        <v>#REF!</v>
      </c>
      <c r="FZ3" t="e">
        <f>AND('Author and Rec of Changes'!#REF!,"AAAAABPz/7U=")</f>
        <v>#REF!</v>
      </c>
      <c r="GA3" t="e">
        <f>AND('Author and Rec of Changes'!#REF!,"AAAAABPz/7Y=")</f>
        <v>#REF!</v>
      </c>
      <c r="GB3" t="e">
        <f>AND('Author and Rec of Changes'!#REF!,"AAAAABPz/7c=")</f>
        <v>#REF!</v>
      </c>
      <c r="GC3" t="e">
        <f>AND('Author and Rec of Changes'!#REF!,"AAAAABPz/7g=")</f>
        <v>#REF!</v>
      </c>
      <c r="GD3" t="e">
        <f>AND('Author and Rec of Changes'!#REF!,"AAAAABPz/7k=")</f>
        <v>#REF!</v>
      </c>
      <c r="GE3" t="e">
        <f>AND('Author and Rec of Changes'!#REF!,"AAAAABPz/7o=")</f>
        <v>#REF!</v>
      </c>
      <c r="GF3" t="e">
        <f>IF('Author and Rec of Changes'!#REF!,"AAAAABPz/7s=",0)</f>
        <v>#REF!</v>
      </c>
      <c r="GG3" t="e">
        <f>AND('Author and Rec of Changes'!#REF!,"AAAAABPz/7w=")</f>
        <v>#REF!</v>
      </c>
      <c r="GH3" t="e">
        <f>AND('Author and Rec of Changes'!#REF!,"AAAAABPz/70=")</f>
        <v>#REF!</v>
      </c>
      <c r="GI3" t="e">
        <f>AND('Author and Rec of Changes'!#REF!,"AAAAABPz/74=")</f>
        <v>#REF!</v>
      </c>
      <c r="GJ3" t="e">
        <f>AND('Author and Rec of Changes'!#REF!,"AAAAABPz/78=")</f>
        <v>#REF!</v>
      </c>
      <c r="GK3" t="e">
        <f>AND('Author and Rec of Changes'!#REF!,"AAAAABPz/8A=")</f>
        <v>#REF!</v>
      </c>
      <c r="GL3" t="e">
        <f>AND('Author and Rec of Changes'!#REF!,"AAAAABPz/8E=")</f>
        <v>#REF!</v>
      </c>
      <c r="GM3" t="e">
        <f>IF('Author and Rec of Changes'!#REF!,"AAAAABPz/8I=",0)</f>
        <v>#REF!</v>
      </c>
      <c r="GN3" t="e">
        <f>AND('Author and Rec of Changes'!#REF!,"AAAAABPz/8M=")</f>
        <v>#REF!</v>
      </c>
      <c r="GO3" t="e">
        <f>AND('Author and Rec of Changes'!#REF!,"AAAAABPz/8Q=")</f>
        <v>#REF!</v>
      </c>
      <c r="GP3" t="e">
        <f>AND('Author and Rec of Changes'!#REF!,"AAAAABPz/8U=")</f>
        <v>#REF!</v>
      </c>
      <c r="GQ3" t="e">
        <f>AND('Author and Rec of Changes'!#REF!,"AAAAABPz/8Y=")</f>
        <v>#REF!</v>
      </c>
      <c r="GR3" t="e">
        <f>AND('Author and Rec of Changes'!#REF!,"AAAAABPz/8c=")</f>
        <v>#REF!</v>
      </c>
      <c r="GS3" t="e">
        <f>AND('Author and Rec of Changes'!#REF!,"AAAAABPz/8g=")</f>
        <v>#REF!</v>
      </c>
      <c r="GT3" t="e">
        <f>IF('Author and Rec of Changes'!#REF!,"AAAAABPz/8k=",0)</f>
        <v>#REF!</v>
      </c>
      <c r="GU3" t="e">
        <f>AND('Author and Rec of Changes'!#REF!,"AAAAABPz/8o=")</f>
        <v>#REF!</v>
      </c>
      <c r="GV3" t="e">
        <f>AND('Author and Rec of Changes'!#REF!,"AAAAABPz/8s=")</f>
        <v>#REF!</v>
      </c>
      <c r="GW3" t="e">
        <f>AND('Author and Rec of Changes'!#REF!,"AAAAABPz/8w=")</f>
        <v>#REF!</v>
      </c>
      <c r="GX3" t="e">
        <f>AND('Author and Rec of Changes'!#REF!,"AAAAABPz/80=")</f>
        <v>#REF!</v>
      </c>
      <c r="GY3" t="e">
        <f>AND('Author and Rec of Changes'!#REF!,"AAAAABPz/84=")</f>
        <v>#REF!</v>
      </c>
      <c r="GZ3" t="e">
        <f>AND('Author and Rec of Changes'!#REF!,"AAAAABPz/88=")</f>
        <v>#REF!</v>
      </c>
      <c r="HA3" t="e">
        <f>IF('Author and Rec of Changes'!#REF!,"AAAAABPz/9A=",0)</f>
        <v>#REF!</v>
      </c>
      <c r="HB3" t="e">
        <f>AND('Author and Rec of Changes'!#REF!,"AAAAABPz/9E=")</f>
        <v>#REF!</v>
      </c>
      <c r="HC3" t="e">
        <f>AND('Author and Rec of Changes'!#REF!,"AAAAABPz/9I=")</f>
        <v>#REF!</v>
      </c>
      <c r="HD3" t="e">
        <f>AND('Author and Rec of Changes'!#REF!,"AAAAABPz/9M=")</f>
        <v>#REF!</v>
      </c>
      <c r="HE3" t="e">
        <f>AND('Author and Rec of Changes'!#REF!,"AAAAABPz/9Q=")</f>
        <v>#REF!</v>
      </c>
      <c r="HF3" t="e">
        <f>AND('Author and Rec of Changes'!#REF!,"AAAAABPz/9U=")</f>
        <v>#REF!</v>
      </c>
      <c r="HG3" t="e">
        <f>AND('Author and Rec of Changes'!#REF!,"AAAAABPz/9Y=")</f>
        <v>#REF!</v>
      </c>
      <c r="HH3" t="e">
        <f>IF('Author and Rec of Changes'!#REF!,"AAAAABPz/9c=",0)</f>
        <v>#REF!</v>
      </c>
      <c r="HI3" t="e">
        <f>AND('Author and Rec of Changes'!#REF!,"AAAAABPz/9g=")</f>
        <v>#REF!</v>
      </c>
      <c r="HJ3" t="e">
        <f>AND('Author and Rec of Changes'!#REF!,"AAAAABPz/9k=")</f>
        <v>#REF!</v>
      </c>
      <c r="HK3" t="e">
        <f>AND('Author and Rec of Changes'!#REF!,"AAAAABPz/9o=")</f>
        <v>#REF!</v>
      </c>
      <c r="HL3" t="e">
        <f>AND('Author and Rec of Changes'!#REF!,"AAAAABPz/9s=")</f>
        <v>#REF!</v>
      </c>
      <c r="HM3" t="e">
        <f>AND('Author and Rec of Changes'!#REF!,"AAAAABPz/9w=")</f>
        <v>#REF!</v>
      </c>
      <c r="HN3" t="e">
        <f>AND('Author and Rec of Changes'!#REF!,"AAAAABPz/90=")</f>
        <v>#REF!</v>
      </c>
      <c r="HO3" t="e">
        <f>IF('Author and Rec of Changes'!#REF!,"AAAAABPz/94=",0)</f>
        <v>#REF!</v>
      </c>
      <c r="HP3" t="e">
        <f>AND('Author and Rec of Changes'!#REF!,"AAAAABPz/98=")</f>
        <v>#REF!</v>
      </c>
      <c r="HQ3" t="e">
        <f>AND('Author and Rec of Changes'!#REF!,"AAAAABPz/+A=")</f>
        <v>#REF!</v>
      </c>
      <c r="HR3" t="e">
        <f>AND('Author and Rec of Changes'!#REF!,"AAAAABPz/+E=")</f>
        <v>#REF!</v>
      </c>
      <c r="HS3" t="e">
        <f>AND('Author and Rec of Changes'!#REF!,"AAAAABPz/+I=")</f>
        <v>#REF!</v>
      </c>
      <c r="HT3" t="e">
        <f>AND('Author and Rec of Changes'!#REF!,"AAAAABPz/+M=")</f>
        <v>#REF!</v>
      </c>
      <c r="HU3" t="e">
        <f>AND('Author and Rec of Changes'!#REF!,"AAAAABPz/+Q=")</f>
        <v>#REF!</v>
      </c>
      <c r="HV3">
        <f>IF('Author and Rec of Changes'!5:5,"AAAAABPz/+U=",0)</f>
        <v>0</v>
      </c>
      <c r="HW3" t="e">
        <f>AND('Author and Rec of Changes'!A5,"AAAAABPz/+Y=")</f>
        <v>#VALUE!</v>
      </c>
      <c r="HX3" t="e">
        <f>AND('Author and Rec of Changes'!B5,"AAAAABPz/+c=")</f>
        <v>#VALUE!</v>
      </c>
      <c r="HY3" t="e">
        <f>AND('Author and Rec of Changes'!C5,"AAAAABPz/+g=")</f>
        <v>#VALUE!</v>
      </c>
      <c r="HZ3" t="e">
        <f>AND('Author and Rec of Changes'!E5,"AAAAABPz/+k=")</f>
        <v>#VALUE!</v>
      </c>
      <c r="IA3" t="e">
        <f>AND('Author and Rec of Changes'!F5,"AAAAABPz/+o=")</f>
        <v>#VALUE!</v>
      </c>
      <c r="IB3" t="e">
        <f>AND('Author and Rec of Changes'!G5,"AAAAABPz/+s=")</f>
        <v>#VALUE!</v>
      </c>
      <c r="IC3" t="e">
        <f>IF('Author and Rec of Changes'!#REF!,"AAAAABPz/+w=",0)</f>
        <v>#REF!</v>
      </c>
      <c r="ID3" t="e">
        <f>AND('Author and Rec of Changes'!#REF!,"AAAAABPz/+0=")</f>
        <v>#REF!</v>
      </c>
      <c r="IE3" t="e">
        <f>AND('Author and Rec of Changes'!#REF!,"AAAAABPz/+4=")</f>
        <v>#REF!</v>
      </c>
      <c r="IF3" t="e">
        <f>AND('Author and Rec of Changes'!#REF!,"AAAAABPz/+8=")</f>
        <v>#REF!</v>
      </c>
      <c r="IG3" t="e">
        <f>AND('Author and Rec of Changes'!#REF!,"AAAAABPz//A=")</f>
        <v>#REF!</v>
      </c>
      <c r="IH3" t="e">
        <f>AND('Author and Rec of Changes'!#REF!,"AAAAABPz//E=")</f>
        <v>#REF!</v>
      </c>
      <c r="II3" t="e">
        <f>AND('Author and Rec of Changes'!#REF!,"AAAAABPz//I=")</f>
        <v>#REF!</v>
      </c>
      <c r="IJ3" t="e">
        <f>IF('Author and Rec of Changes'!#REF!,"AAAAABPz//M=",0)</f>
        <v>#REF!</v>
      </c>
      <c r="IK3" t="e">
        <f>AND('Author and Rec of Changes'!#REF!,"AAAAABPz//Q=")</f>
        <v>#REF!</v>
      </c>
      <c r="IL3" t="e">
        <f>AND('Author and Rec of Changes'!#REF!,"AAAAABPz//U=")</f>
        <v>#REF!</v>
      </c>
      <c r="IM3" t="e">
        <f>AND('Author and Rec of Changes'!#REF!,"AAAAABPz//Y=")</f>
        <v>#REF!</v>
      </c>
      <c r="IN3" t="e">
        <f>AND('Author and Rec of Changes'!#REF!,"AAAAABPz//c=")</f>
        <v>#REF!</v>
      </c>
      <c r="IO3" t="e">
        <f>AND('Author and Rec of Changes'!#REF!,"AAAAABPz//g=")</f>
        <v>#REF!</v>
      </c>
      <c r="IP3" t="e">
        <f>AND('Author and Rec of Changes'!#REF!,"AAAAABPz//k=")</f>
        <v>#REF!</v>
      </c>
      <c r="IQ3">
        <f>IF('Author and Rec of Changes'!6:6,"AAAAABPz//o=",0)</f>
        <v>0</v>
      </c>
      <c r="IR3" t="e">
        <f>AND('Author and Rec of Changes'!A6,"AAAAABPz//s=")</f>
        <v>#VALUE!</v>
      </c>
      <c r="IS3" t="e">
        <f>AND('Author and Rec of Changes'!B6,"AAAAABPz//w=")</f>
        <v>#VALUE!</v>
      </c>
      <c r="IT3" t="e">
        <f>AND('Author and Rec of Changes'!C6,"AAAAABPz//0=")</f>
        <v>#VALUE!</v>
      </c>
      <c r="IU3" t="e">
        <f>AND('Author and Rec of Changes'!E6,"AAAAABPz//4=")</f>
        <v>#VALUE!</v>
      </c>
      <c r="IV3" t="e">
        <f>AND('Author and Rec of Changes'!F6,"AAAAABPz//8=")</f>
        <v>#VALUE!</v>
      </c>
    </row>
    <row r="4" spans="1:256" ht="14.5">
      <c r="A4" t="e">
        <f>AND('Author and Rec of Changes'!G6,"AAAAAH/rVAA=")</f>
        <v>#VALUE!</v>
      </c>
      <c r="B4">
        <f>IF('Author and Rec of Changes'!7:7,"AAAAAH/rVAE=",0)</f>
        <v>0</v>
      </c>
      <c r="C4" t="e">
        <f>AND('Author and Rec of Changes'!A7,"AAAAAH/rVAI=")</f>
        <v>#VALUE!</v>
      </c>
      <c r="D4" t="e">
        <f>AND('Author and Rec of Changes'!B7,"AAAAAH/rVAM=")</f>
        <v>#VALUE!</v>
      </c>
      <c r="E4" t="e">
        <f>AND('Author and Rec of Changes'!C7,"AAAAAH/rVAQ=")</f>
        <v>#VALUE!</v>
      </c>
      <c r="F4" t="e">
        <f>AND('Author and Rec of Changes'!E7,"AAAAAH/rVAU=")</f>
        <v>#VALUE!</v>
      </c>
      <c r="G4" t="e">
        <f>AND('Author and Rec of Changes'!F7,"AAAAAH/rVAY=")</f>
        <v>#VALUE!</v>
      </c>
      <c r="H4" t="e">
        <f>AND('Author and Rec of Changes'!G7,"AAAAAH/rVAc=")</f>
        <v>#VALUE!</v>
      </c>
      <c r="I4">
        <f>IF('Author and Rec of Changes'!8:8,"AAAAAH/rVAg=",0)</f>
        <v>0</v>
      </c>
      <c r="J4" t="e">
        <f>AND('Author and Rec of Changes'!A8,"AAAAAH/rVAk=")</f>
        <v>#VALUE!</v>
      </c>
      <c r="K4" t="e">
        <f>AND('Author and Rec of Changes'!B8,"AAAAAH/rVAo=")</f>
        <v>#VALUE!</v>
      </c>
      <c r="L4" t="e">
        <f>AND('Author and Rec of Changes'!C8,"AAAAAH/rVAs=")</f>
        <v>#VALUE!</v>
      </c>
      <c r="M4" t="e">
        <f>AND('Author and Rec of Changes'!E8,"AAAAAH/rVAw=")</f>
        <v>#VALUE!</v>
      </c>
      <c r="N4" t="e">
        <f>AND('Author and Rec of Changes'!F8,"AAAAAH/rVA0=")</f>
        <v>#VALUE!</v>
      </c>
      <c r="O4" t="e">
        <f>AND('Author and Rec of Changes'!G8,"AAAAAH/rVA4=")</f>
        <v>#VALUE!</v>
      </c>
      <c r="P4">
        <f>IF('Author and Rec of Changes'!9:9,"AAAAAH/rVA8=",0)</f>
        <v>0</v>
      </c>
      <c r="Q4" t="e">
        <f>AND('Author and Rec of Changes'!A9,"AAAAAH/rVBA=")</f>
        <v>#VALUE!</v>
      </c>
      <c r="R4" t="e">
        <f>AND('Author and Rec of Changes'!B9,"AAAAAH/rVBE=")</f>
        <v>#VALUE!</v>
      </c>
      <c r="S4" t="e">
        <f>AND('Author and Rec of Changes'!C9,"AAAAAH/rVBI=")</f>
        <v>#VALUE!</v>
      </c>
      <c r="T4" t="e">
        <f>AND('Author and Rec of Changes'!E9,"AAAAAH/rVBM=")</f>
        <v>#VALUE!</v>
      </c>
      <c r="U4" t="e">
        <f>AND('Author and Rec of Changes'!F9,"AAAAAH/rVBQ=")</f>
        <v>#VALUE!</v>
      </c>
      <c r="V4" t="e">
        <f>AND('Author and Rec of Changes'!G9,"AAAAAH/rVBU=")</f>
        <v>#VALUE!</v>
      </c>
      <c r="W4">
        <f>IF('Author and Rec of Changes'!10:10,"AAAAAH/rVBY=",0)</f>
        <v>0</v>
      </c>
      <c r="X4">
        <f>IF('Author and Rec of Changes'!11:11,"AAAAAH/rVBc=",0)</f>
        <v>0</v>
      </c>
      <c r="Y4">
        <f>IF('Author and Rec of Changes'!12:12,"AAAAAH/rVBg=",0)</f>
        <v>0</v>
      </c>
      <c r="Z4">
        <f>IF('Author and Rec of Changes'!13:13,"AAAAAH/rVBk=",0)</f>
        <v>0</v>
      </c>
      <c r="AA4">
        <f>IF('Author and Rec of Changes'!14:14,"AAAAAH/rVBo=",0)</f>
        <v>0</v>
      </c>
      <c r="AB4">
        <f>IF('Author and Rec of Changes'!15:15,"AAAAAH/rVBs=",0)</f>
        <v>0</v>
      </c>
      <c r="AC4">
        <f>IF('Author and Rec of Changes'!16:16,"AAAAAH/rVBw=",0)</f>
        <v>0</v>
      </c>
      <c r="AD4">
        <f>IF('Author and Rec of Changes'!A:A,"AAAAAH/rVB0=",0)</f>
        <v>0</v>
      </c>
      <c r="AE4" t="e">
        <f>IF('Author and Rec of Changes'!B:B,"AAAAAH/rVB4=",0)</f>
        <v>#VALUE!</v>
      </c>
      <c r="AF4" t="e">
        <f>IF('Author and Rec of Changes'!C:C,"AAAAAH/rVB8=",0)</f>
        <v>#VALUE!</v>
      </c>
      <c r="AG4">
        <f>IF('Author and Rec of Changes'!E:E,"AAAAAH/rVCA=",0)</f>
        <v>0</v>
      </c>
      <c r="AH4">
        <f>IF('Author and Rec of Changes'!F:F,"AAAAAH/rVCE=",0)</f>
        <v>0</v>
      </c>
      <c r="AI4">
        <f>IF('Author and Rec of Changes'!G:G,"AAAAAH/rVCI=",0)</f>
        <v>0</v>
      </c>
      <c r="AJ4" t="s">
        <v>104</v>
      </c>
      <c r="AK4" s="21" t="s">
        <v>105</v>
      </c>
      <c r="AL4" s="22" t="s">
        <v>106</v>
      </c>
      <c r="AM4" t="e">
        <f>IF("N",_xlnm._FilterDatabase,"AAAAAH/rVCY=")</f>
        <v>#VALUE!</v>
      </c>
    </row>
    <row r="5" spans="1:256">
      <c r="A5" t="e">
        <f>AND(Syllabus!A1,"AAAAACvx+wA=")</f>
        <v>#VALUE!</v>
      </c>
      <c r="B5" t="e">
        <f>IF(Syllabus!#REF!,"AAAAACvx+wE=",0)</f>
        <v>#REF!</v>
      </c>
      <c r="C5" t="e">
        <f>AND(Syllabus!#REF!,"AAAAACvx+wI=")</f>
        <v>#REF!</v>
      </c>
      <c r="D5" t="e">
        <f>AND(Syllabus!#REF!,"AAAAACvx+wM=")</f>
        <v>#REF!</v>
      </c>
      <c r="E5" t="e">
        <f>AND(Syllabus!#REF!,"AAAAACvx+wQ=")</f>
        <v>#REF!</v>
      </c>
      <c r="F5" t="e">
        <f>AND(Syllabus!#REF!,"AAAAACvx+wU=")</f>
        <v>#REF!</v>
      </c>
      <c r="G5" t="e">
        <f>AND(Syllabus!#REF!,"AAAAACvx+wY=")</f>
        <v>#REF!</v>
      </c>
      <c r="H5" t="e">
        <f>AND(Syllabus!#REF!,"AAAAACvx+wc=")</f>
        <v>#REF!</v>
      </c>
      <c r="I5" t="e">
        <f>AND(Syllabus!#REF!,"AAAAACvx+wg=")</f>
        <v>#REF!</v>
      </c>
      <c r="J5">
        <f>IF(Syllabus!3:3,"AAAAACvx+wk=",0)</f>
        <v>0</v>
      </c>
      <c r="K5" t="e">
        <f>AND(Syllabus!A3,"AAAAACvx+wo=")</f>
        <v>#VALUE!</v>
      </c>
      <c r="L5" t="e">
        <f>AND(Syllabus!B3,"AAAAACvx+ws=")</f>
        <v>#VALUE!</v>
      </c>
      <c r="M5" t="e">
        <f>AND(Syllabus!C3,"AAAAACvx+ww=")</f>
        <v>#VALUE!</v>
      </c>
      <c r="N5" t="e">
        <f>AND(Syllabus!D3,"AAAAACvx+w0=")</f>
        <v>#VALUE!</v>
      </c>
      <c r="O5" t="e">
        <f>AND(Syllabus!E3,"AAAAACvx+w4=")</f>
        <v>#VALUE!</v>
      </c>
      <c r="P5" t="e">
        <f>AND(Syllabus!#REF!,"AAAAACvx+w8=")</f>
        <v>#REF!</v>
      </c>
      <c r="Q5" t="e">
        <f>AND(Syllabus!F3,"AAAAACvx+xA=")</f>
        <v>#VALUE!</v>
      </c>
    </row>
  </sheetData>
  <pageMargins left="0.7" right="0.7" top="0.75" bottom="0.75" header="0.3" footer="0.3"/>
  <customProperties>
    <customPr name="DVSECTION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6"/>
  <sheetViews>
    <sheetView workbookViewId="0">
      <selection activeCell="D28" sqref="D28"/>
    </sheetView>
  </sheetViews>
  <sheetFormatPr defaultColWidth="8.6328125" defaultRowHeight="12.5"/>
  <cols>
    <col min="1" max="1" width="35.6328125" customWidth="1"/>
    <col min="2" max="2" width="37.453125" customWidth="1"/>
    <col min="4" max="4" width="41.08984375" customWidth="1"/>
    <col min="5" max="5" width="39.08984375"/>
  </cols>
  <sheetData>
    <row r="1" spans="1:5" ht="14.5">
      <c r="A1" s="19" t="s">
        <v>107</v>
      </c>
      <c r="B1" s="19" t="s">
        <v>108</v>
      </c>
      <c r="D1" t="s">
        <v>108</v>
      </c>
      <c r="E1" t="s">
        <v>107</v>
      </c>
    </row>
    <row r="2" spans="1:5" ht="14.5">
      <c r="A2" s="20" t="s">
        <v>109</v>
      </c>
      <c r="B2" s="20" t="s">
        <v>109</v>
      </c>
      <c r="D2" t="s">
        <v>109</v>
      </c>
    </row>
    <row r="3" spans="1:5" ht="14.5">
      <c r="A3" s="20" t="s">
        <v>110</v>
      </c>
      <c r="B3" s="20" t="s">
        <v>110</v>
      </c>
      <c r="E3" t="s">
        <v>109</v>
      </c>
    </row>
    <row r="4" spans="1:5" ht="14.5">
      <c r="A4" s="20" t="s">
        <v>111</v>
      </c>
      <c r="B4" s="20" t="s">
        <v>110</v>
      </c>
      <c r="D4" t="s">
        <v>110</v>
      </c>
    </row>
    <row r="5" spans="1:5" ht="14.5">
      <c r="A5" s="20" t="s">
        <v>112</v>
      </c>
      <c r="B5" s="20" t="s">
        <v>112</v>
      </c>
      <c r="E5" t="s">
        <v>110</v>
      </c>
    </row>
    <row r="6" spans="1:5" ht="14.5">
      <c r="A6" s="20" t="s">
        <v>113</v>
      </c>
      <c r="B6" s="20" t="s">
        <v>113</v>
      </c>
      <c r="E6" t="s">
        <v>111</v>
      </c>
    </row>
    <row r="7" spans="1:5" ht="14.5">
      <c r="A7" s="20" t="s">
        <v>114</v>
      </c>
      <c r="B7" s="20" t="s">
        <v>115</v>
      </c>
      <c r="D7" t="s">
        <v>112</v>
      </c>
    </row>
    <row r="8" spans="1:5" ht="14.5">
      <c r="A8" s="20" t="s">
        <v>116</v>
      </c>
      <c r="B8" s="20" t="s">
        <v>116</v>
      </c>
      <c r="E8" t="s">
        <v>112</v>
      </c>
    </row>
    <row r="9" spans="1:5" ht="14.5">
      <c r="A9" s="20" t="s">
        <v>117</v>
      </c>
      <c r="B9" s="20" t="s">
        <v>117</v>
      </c>
      <c r="D9" t="s">
        <v>113</v>
      </c>
    </row>
    <row r="10" spans="1:5" ht="14.5">
      <c r="A10" s="20" t="s">
        <v>118</v>
      </c>
      <c r="B10" s="20" t="s">
        <v>119</v>
      </c>
      <c r="E10" t="s">
        <v>113</v>
      </c>
    </row>
    <row r="11" spans="1:5" ht="14.5">
      <c r="A11" s="20" t="s">
        <v>120</v>
      </c>
      <c r="B11" s="20" t="s">
        <v>115</v>
      </c>
      <c r="D11" t="s">
        <v>116</v>
      </c>
    </row>
    <row r="12" spans="1:5" ht="14.5">
      <c r="A12" s="20" t="s">
        <v>121</v>
      </c>
      <c r="B12" s="20" t="s">
        <v>119</v>
      </c>
      <c r="E12" t="s">
        <v>116</v>
      </c>
    </row>
    <row r="13" spans="1:5" ht="14.5">
      <c r="A13" s="20" t="s">
        <v>122</v>
      </c>
      <c r="B13" s="20" t="s">
        <v>122</v>
      </c>
      <c r="D13" t="s">
        <v>117</v>
      </c>
    </row>
    <row r="14" spans="1:5" ht="14.5">
      <c r="A14" s="20" t="s">
        <v>123</v>
      </c>
      <c r="B14" s="20" t="s">
        <v>123</v>
      </c>
      <c r="E14" t="s">
        <v>117</v>
      </c>
    </row>
    <row r="15" spans="1:5" ht="14.5">
      <c r="A15" s="20" t="s">
        <v>124</v>
      </c>
      <c r="B15" s="20" t="s">
        <v>123</v>
      </c>
      <c r="D15" t="s">
        <v>119</v>
      </c>
    </row>
    <row r="16" spans="1:5" ht="14.5">
      <c r="A16" s="20" t="s">
        <v>125</v>
      </c>
      <c r="B16" s="20" t="s">
        <v>123</v>
      </c>
      <c r="E16" t="s">
        <v>118</v>
      </c>
    </row>
    <row r="17" spans="1:5" ht="14.5">
      <c r="A17" s="20" t="s">
        <v>126</v>
      </c>
      <c r="B17" s="20" t="s">
        <v>123</v>
      </c>
      <c r="E17" t="s">
        <v>121</v>
      </c>
    </row>
    <row r="18" spans="1:5" ht="14.5">
      <c r="A18" s="20" t="s">
        <v>127</v>
      </c>
      <c r="B18" s="20" t="s">
        <v>123</v>
      </c>
      <c r="E18" t="s">
        <v>128</v>
      </c>
    </row>
    <row r="19" spans="1:5" ht="14.5">
      <c r="A19" s="20" t="s">
        <v>129</v>
      </c>
      <c r="B19" s="20" t="s">
        <v>130</v>
      </c>
      <c r="D19" t="s">
        <v>122</v>
      </c>
    </row>
    <row r="20" spans="1:5" ht="14.5">
      <c r="A20" s="20" t="s">
        <v>131</v>
      </c>
      <c r="B20" s="20" t="s">
        <v>130</v>
      </c>
      <c r="E20" t="s">
        <v>122</v>
      </c>
    </row>
    <row r="21" spans="1:5" ht="14.5">
      <c r="A21" s="20" t="s">
        <v>132</v>
      </c>
      <c r="B21" s="20" t="s">
        <v>130</v>
      </c>
      <c r="D21" t="s">
        <v>123</v>
      </c>
    </row>
    <row r="22" spans="1:5" ht="14.5">
      <c r="A22" s="20" t="s">
        <v>130</v>
      </c>
      <c r="B22" s="20" t="s">
        <v>130</v>
      </c>
      <c r="E22" t="s">
        <v>123</v>
      </c>
    </row>
    <row r="23" spans="1:5" ht="14.5">
      <c r="A23" s="20" t="s">
        <v>133</v>
      </c>
      <c r="B23" s="20" t="s">
        <v>130</v>
      </c>
      <c r="E23" t="s">
        <v>124</v>
      </c>
    </row>
    <row r="24" spans="1:5" ht="14.5">
      <c r="A24" s="20" t="s">
        <v>134</v>
      </c>
      <c r="B24" s="20" t="s">
        <v>134</v>
      </c>
      <c r="E24" t="s">
        <v>125</v>
      </c>
    </row>
    <row r="25" spans="1:5" ht="14.5">
      <c r="A25" s="20" t="s">
        <v>135</v>
      </c>
      <c r="B25" s="20" t="s">
        <v>134</v>
      </c>
      <c r="E25" t="s">
        <v>126</v>
      </c>
    </row>
    <row r="26" spans="1:5" ht="14.5">
      <c r="A26" s="20" t="s">
        <v>136</v>
      </c>
      <c r="B26" s="20" t="s">
        <v>136</v>
      </c>
      <c r="E26" t="s">
        <v>127</v>
      </c>
    </row>
    <row r="27" spans="1:5" ht="14.5">
      <c r="A27" s="20" t="s">
        <v>137</v>
      </c>
      <c r="B27" s="20" t="s">
        <v>136</v>
      </c>
      <c r="E27" t="s">
        <v>138</v>
      </c>
    </row>
    <row r="28" spans="1:5" ht="14.5">
      <c r="A28" s="20" t="s">
        <v>139</v>
      </c>
      <c r="B28" s="20" t="s">
        <v>139</v>
      </c>
      <c r="E28" t="s">
        <v>140</v>
      </c>
    </row>
    <row r="29" spans="1:5" ht="14.5">
      <c r="A29" s="20" t="s">
        <v>141</v>
      </c>
      <c r="B29" s="20" t="s">
        <v>139</v>
      </c>
      <c r="E29" t="s">
        <v>142</v>
      </c>
    </row>
    <row r="30" spans="1:5" ht="14.5">
      <c r="A30" s="20" t="s">
        <v>143</v>
      </c>
      <c r="B30" s="20" t="s">
        <v>139</v>
      </c>
      <c r="D30" t="s">
        <v>130</v>
      </c>
    </row>
    <row r="31" spans="1:5" ht="14.5">
      <c r="A31" s="20" t="s">
        <v>144</v>
      </c>
      <c r="B31" s="20" t="s">
        <v>144</v>
      </c>
      <c r="E31" t="s">
        <v>129</v>
      </c>
    </row>
    <row r="32" spans="1:5" ht="14.5">
      <c r="A32" s="20" t="s">
        <v>145</v>
      </c>
      <c r="B32" s="20" t="s">
        <v>144</v>
      </c>
      <c r="E32" t="s">
        <v>131</v>
      </c>
    </row>
    <row r="33" spans="1:5" ht="14.5">
      <c r="A33" s="20" t="s">
        <v>146</v>
      </c>
      <c r="B33" s="20" t="s">
        <v>144</v>
      </c>
      <c r="E33" t="s">
        <v>132</v>
      </c>
    </row>
    <row r="34" spans="1:5" ht="14.5">
      <c r="A34" s="20" t="s">
        <v>147</v>
      </c>
      <c r="B34" s="20" t="s">
        <v>144</v>
      </c>
      <c r="E34" t="s">
        <v>130</v>
      </c>
    </row>
    <row r="35" spans="1:5" ht="14.5">
      <c r="A35" s="20" t="s">
        <v>148</v>
      </c>
      <c r="B35" s="20" t="s">
        <v>144</v>
      </c>
      <c r="E35" t="s">
        <v>133</v>
      </c>
    </row>
    <row r="36" spans="1:5" ht="14.5">
      <c r="A36" s="20" t="s">
        <v>149</v>
      </c>
      <c r="B36" s="20" t="s">
        <v>149</v>
      </c>
      <c r="E36" t="s">
        <v>150</v>
      </c>
    </row>
    <row r="37" spans="1:5" ht="14.5">
      <c r="A37" s="20" t="s">
        <v>151</v>
      </c>
      <c r="B37" s="20" t="s">
        <v>115</v>
      </c>
      <c r="D37" t="s">
        <v>134</v>
      </c>
    </row>
    <row r="38" spans="1:5" ht="14.5">
      <c r="A38" s="20" t="s">
        <v>152</v>
      </c>
      <c r="B38" s="20" t="s">
        <v>152</v>
      </c>
      <c r="E38" t="s">
        <v>134</v>
      </c>
    </row>
    <row r="39" spans="1:5" ht="14.5">
      <c r="A39" s="20" t="s">
        <v>153</v>
      </c>
      <c r="B39" s="20" t="s">
        <v>154</v>
      </c>
      <c r="E39" t="s">
        <v>135</v>
      </c>
    </row>
    <row r="40" spans="1:5" ht="14.5">
      <c r="A40" s="20" t="s">
        <v>155</v>
      </c>
      <c r="B40" s="20" t="s">
        <v>115</v>
      </c>
      <c r="D40" t="s">
        <v>136</v>
      </c>
    </row>
    <row r="41" spans="1:5" ht="14.5">
      <c r="A41" s="20" t="s">
        <v>156</v>
      </c>
      <c r="B41" s="20" t="s">
        <v>115</v>
      </c>
      <c r="E41" t="s">
        <v>136</v>
      </c>
    </row>
    <row r="42" spans="1:5" ht="14.5">
      <c r="A42" s="20" t="s">
        <v>157</v>
      </c>
      <c r="B42" s="20" t="s">
        <v>115</v>
      </c>
      <c r="E42" t="s">
        <v>137</v>
      </c>
    </row>
    <row r="43" spans="1:5" ht="14.5">
      <c r="A43" s="20" t="s">
        <v>158</v>
      </c>
      <c r="B43" s="20" t="s">
        <v>115</v>
      </c>
      <c r="D43" t="s">
        <v>139</v>
      </c>
    </row>
    <row r="44" spans="1:5" ht="14.5">
      <c r="A44" s="20" t="s">
        <v>159</v>
      </c>
      <c r="B44" s="20" t="s">
        <v>115</v>
      </c>
      <c r="E44" t="s">
        <v>139</v>
      </c>
    </row>
    <row r="45" spans="1:5" ht="14.5">
      <c r="A45" s="20" t="s">
        <v>160</v>
      </c>
      <c r="B45" s="20" t="s">
        <v>115</v>
      </c>
      <c r="E45" t="s">
        <v>141</v>
      </c>
    </row>
    <row r="46" spans="1:5" ht="14.5">
      <c r="A46" s="20" t="s">
        <v>161</v>
      </c>
      <c r="B46" s="20" t="s">
        <v>115</v>
      </c>
      <c r="E46" t="s">
        <v>143</v>
      </c>
    </row>
    <row r="47" spans="1:5" ht="14.5">
      <c r="A47" s="20" t="s">
        <v>162</v>
      </c>
      <c r="B47" s="20" t="s">
        <v>115</v>
      </c>
      <c r="D47" t="s">
        <v>144</v>
      </c>
    </row>
    <row r="48" spans="1:5" ht="14.5">
      <c r="A48" s="20" t="s">
        <v>163</v>
      </c>
      <c r="B48" s="20" t="s">
        <v>115</v>
      </c>
      <c r="E48" t="s">
        <v>144</v>
      </c>
    </row>
    <row r="49" spans="1:5" ht="14.5">
      <c r="A49" s="20" t="s">
        <v>164</v>
      </c>
      <c r="B49" s="20" t="s">
        <v>115</v>
      </c>
      <c r="E49" t="s">
        <v>145</v>
      </c>
    </row>
    <row r="50" spans="1:5" ht="14.5">
      <c r="A50" s="20" t="s">
        <v>165</v>
      </c>
      <c r="B50" s="20" t="s">
        <v>165</v>
      </c>
      <c r="E50" t="s">
        <v>146</v>
      </c>
    </row>
    <row r="51" spans="1:5" ht="14.5">
      <c r="A51" s="20" t="s">
        <v>166</v>
      </c>
      <c r="B51" s="20" t="s">
        <v>167</v>
      </c>
      <c r="E51" t="s">
        <v>147</v>
      </c>
    </row>
    <row r="52" spans="1:5" ht="14.5">
      <c r="A52" s="20" t="s">
        <v>168</v>
      </c>
      <c r="B52" s="20" t="s">
        <v>115</v>
      </c>
      <c r="E52" t="s">
        <v>148</v>
      </c>
    </row>
    <row r="53" spans="1:5" ht="14.5">
      <c r="A53" s="20" t="s">
        <v>169</v>
      </c>
      <c r="B53" s="20" t="s">
        <v>115</v>
      </c>
      <c r="D53" t="s">
        <v>149</v>
      </c>
    </row>
    <row r="54" spans="1:5" ht="14.5">
      <c r="A54" s="20" t="s">
        <v>170</v>
      </c>
      <c r="B54" s="20" t="s">
        <v>170</v>
      </c>
      <c r="E54" t="s">
        <v>149</v>
      </c>
    </row>
    <row r="55" spans="1:5" ht="14.5">
      <c r="A55" s="20" t="s">
        <v>171</v>
      </c>
      <c r="B55" s="20" t="s">
        <v>171</v>
      </c>
      <c r="D55" t="s">
        <v>152</v>
      </c>
    </row>
    <row r="56" spans="1:5" ht="14.5">
      <c r="A56" s="20" t="s">
        <v>172</v>
      </c>
      <c r="B56" s="20" t="s">
        <v>171</v>
      </c>
      <c r="E56" t="s">
        <v>152</v>
      </c>
    </row>
    <row r="57" spans="1:5" ht="14.5">
      <c r="A57" s="20" t="s">
        <v>173</v>
      </c>
      <c r="B57" s="20" t="s">
        <v>115</v>
      </c>
      <c r="D57" t="s">
        <v>154</v>
      </c>
    </row>
    <row r="58" spans="1:5" ht="14.5">
      <c r="A58" s="20" t="s">
        <v>174</v>
      </c>
      <c r="B58" s="20" t="s">
        <v>167</v>
      </c>
      <c r="E58" t="s">
        <v>153</v>
      </c>
    </row>
    <row r="59" spans="1:5" ht="14.5">
      <c r="A59" s="20" t="s">
        <v>175</v>
      </c>
      <c r="B59" s="20" t="s">
        <v>115</v>
      </c>
      <c r="D59" t="s">
        <v>115</v>
      </c>
    </row>
    <row r="60" spans="1:5" ht="14.5">
      <c r="A60" s="20" t="s">
        <v>176</v>
      </c>
      <c r="B60" s="20" t="s">
        <v>167</v>
      </c>
      <c r="E60" t="s">
        <v>114</v>
      </c>
    </row>
    <row r="61" spans="1:5" ht="14.5">
      <c r="A61" s="20" t="s">
        <v>177</v>
      </c>
      <c r="B61" s="20" t="s">
        <v>167</v>
      </c>
      <c r="E61" t="s">
        <v>120</v>
      </c>
    </row>
    <row r="62" spans="1:5" ht="14.5">
      <c r="A62" s="20" t="s">
        <v>178</v>
      </c>
      <c r="B62" s="20" t="s">
        <v>178</v>
      </c>
      <c r="E62" t="s">
        <v>151</v>
      </c>
    </row>
    <row r="63" spans="1:5" ht="14.5">
      <c r="A63" s="20" t="s">
        <v>179</v>
      </c>
      <c r="B63" s="20" t="s">
        <v>179</v>
      </c>
      <c r="E63" t="s">
        <v>155</v>
      </c>
    </row>
    <row r="64" spans="1:5" ht="14.5">
      <c r="A64" s="20" t="s">
        <v>180</v>
      </c>
      <c r="B64" s="20" t="s">
        <v>179</v>
      </c>
      <c r="E64" t="s">
        <v>156</v>
      </c>
    </row>
    <row r="65" spans="1:5" ht="14.5">
      <c r="A65" s="20" t="s">
        <v>181</v>
      </c>
      <c r="B65" s="20" t="s">
        <v>179</v>
      </c>
      <c r="E65" t="s">
        <v>157</v>
      </c>
    </row>
    <row r="66" spans="1:5" ht="14.5">
      <c r="A66" s="20" t="s">
        <v>182</v>
      </c>
      <c r="B66" s="20" t="s">
        <v>182</v>
      </c>
      <c r="E66" t="s">
        <v>158</v>
      </c>
    </row>
    <row r="67" spans="1:5" ht="14.5">
      <c r="A67" s="20" t="s">
        <v>183</v>
      </c>
      <c r="B67" s="20" t="s">
        <v>115</v>
      </c>
      <c r="E67" t="s">
        <v>159</v>
      </c>
    </row>
    <row r="68" spans="1:5" ht="14.5">
      <c r="A68" s="20" t="s">
        <v>128</v>
      </c>
      <c r="B68" s="20" t="s">
        <v>119</v>
      </c>
      <c r="E68" t="s">
        <v>160</v>
      </c>
    </row>
    <row r="69" spans="1:5" ht="14.5">
      <c r="A69" s="20" t="s">
        <v>184</v>
      </c>
      <c r="B69" s="20" t="s">
        <v>184</v>
      </c>
      <c r="E69" t="s">
        <v>161</v>
      </c>
    </row>
    <row r="70" spans="1:5" ht="14.5">
      <c r="A70" s="20" t="s">
        <v>185</v>
      </c>
      <c r="B70" s="20" t="s">
        <v>167</v>
      </c>
      <c r="E70" t="s">
        <v>162</v>
      </c>
    </row>
    <row r="71" spans="1:5" ht="14.5">
      <c r="A71" s="20" t="s">
        <v>186</v>
      </c>
      <c r="B71" s="20" t="s">
        <v>186</v>
      </c>
      <c r="E71" t="s">
        <v>163</v>
      </c>
    </row>
    <row r="72" spans="1:5" ht="14.5">
      <c r="A72" s="20" t="s">
        <v>187</v>
      </c>
      <c r="B72" s="20" t="s">
        <v>187</v>
      </c>
      <c r="E72" t="s">
        <v>164</v>
      </c>
    </row>
    <row r="73" spans="1:5" ht="14.5">
      <c r="A73" s="20" t="s">
        <v>188</v>
      </c>
      <c r="B73" s="20" t="s">
        <v>171</v>
      </c>
      <c r="E73" t="s">
        <v>168</v>
      </c>
    </row>
    <row r="74" spans="1:5" ht="14.5">
      <c r="A74" s="20" t="s">
        <v>189</v>
      </c>
      <c r="B74" s="20" t="s">
        <v>171</v>
      </c>
      <c r="E74" t="s">
        <v>169</v>
      </c>
    </row>
    <row r="75" spans="1:5" ht="14.5">
      <c r="A75" s="20" t="s">
        <v>190</v>
      </c>
      <c r="B75" s="20" t="s">
        <v>190</v>
      </c>
      <c r="E75" t="s">
        <v>173</v>
      </c>
    </row>
    <row r="76" spans="1:5" ht="14.5">
      <c r="A76" s="20" t="s">
        <v>191</v>
      </c>
      <c r="B76" s="20" t="s">
        <v>167</v>
      </c>
      <c r="E76" t="s">
        <v>175</v>
      </c>
    </row>
    <row r="77" spans="1:5" ht="14.5">
      <c r="A77" s="20" t="s">
        <v>192</v>
      </c>
      <c r="B77" s="20" t="s">
        <v>167</v>
      </c>
      <c r="E77" t="s">
        <v>183</v>
      </c>
    </row>
    <row r="78" spans="1:5" ht="14.5">
      <c r="A78" s="20" t="s">
        <v>193</v>
      </c>
      <c r="B78" s="20" t="s">
        <v>115</v>
      </c>
      <c r="E78" t="s">
        <v>193</v>
      </c>
    </row>
    <row r="79" spans="1:5" ht="14.5">
      <c r="A79" s="20" t="s">
        <v>194</v>
      </c>
      <c r="B79" s="20" t="s">
        <v>167</v>
      </c>
      <c r="E79" t="s">
        <v>195</v>
      </c>
    </row>
    <row r="80" spans="1:5" ht="14.5">
      <c r="A80" s="20" t="s">
        <v>195</v>
      </c>
      <c r="B80" s="20" t="s">
        <v>115</v>
      </c>
      <c r="E80" t="s">
        <v>196</v>
      </c>
    </row>
    <row r="81" spans="1:5" ht="14.5">
      <c r="A81" s="20" t="s">
        <v>47</v>
      </c>
      <c r="B81" s="20" t="s">
        <v>167</v>
      </c>
      <c r="E81" t="s">
        <v>197</v>
      </c>
    </row>
    <row r="82" spans="1:5" ht="14.5">
      <c r="A82" s="20" t="s">
        <v>198</v>
      </c>
      <c r="B82" s="20" t="s">
        <v>167</v>
      </c>
      <c r="E82" t="s">
        <v>199</v>
      </c>
    </row>
    <row r="83" spans="1:5" ht="14.5">
      <c r="A83" s="20" t="s">
        <v>167</v>
      </c>
      <c r="B83" s="20" t="s">
        <v>167</v>
      </c>
      <c r="E83" t="s">
        <v>200</v>
      </c>
    </row>
    <row r="84" spans="1:5" ht="14.5">
      <c r="A84" s="20" t="s">
        <v>201</v>
      </c>
      <c r="B84" s="20" t="s">
        <v>201</v>
      </c>
      <c r="E84" t="s">
        <v>202</v>
      </c>
    </row>
    <row r="85" spans="1:5" ht="14.5">
      <c r="A85" s="20" t="s">
        <v>203</v>
      </c>
      <c r="B85" s="20" t="s">
        <v>203</v>
      </c>
      <c r="E85" t="s">
        <v>204</v>
      </c>
    </row>
    <row r="86" spans="1:5" ht="14.5">
      <c r="A86" s="20" t="s">
        <v>138</v>
      </c>
      <c r="B86" s="20" t="s">
        <v>123</v>
      </c>
      <c r="E86" t="s">
        <v>205</v>
      </c>
    </row>
    <row r="87" spans="1:5" ht="14.5">
      <c r="A87" s="20" t="s">
        <v>140</v>
      </c>
      <c r="B87" s="20" t="s">
        <v>123</v>
      </c>
      <c r="E87" t="s">
        <v>206</v>
      </c>
    </row>
    <row r="88" spans="1:5" ht="14.5">
      <c r="A88" s="20" t="s">
        <v>207</v>
      </c>
      <c r="B88" s="20" t="s">
        <v>207</v>
      </c>
      <c r="E88" t="s">
        <v>208</v>
      </c>
    </row>
    <row r="89" spans="1:5" ht="14.5">
      <c r="A89" s="20" t="s">
        <v>209</v>
      </c>
      <c r="B89" s="20" t="s">
        <v>209</v>
      </c>
      <c r="E89" t="s">
        <v>210</v>
      </c>
    </row>
    <row r="90" spans="1:5" ht="14.5">
      <c r="A90" s="20" t="s">
        <v>196</v>
      </c>
      <c r="B90" s="20" t="s">
        <v>115</v>
      </c>
      <c r="E90" t="s">
        <v>211</v>
      </c>
    </row>
    <row r="91" spans="1:5" ht="14.5">
      <c r="A91" s="20" t="s">
        <v>212</v>
      </c>
      <c r="B91" s="20" t="s">
        <v>213</v>
      </c>
      <c r="E91" t="s">
        <v>214</v>
      </c>
    </row>
    <row r="92" spans="1:5" ht="14.5">
      <c r="A92" s="20" t="s">
        <v>215</v>
      </c>
      <c r="B92" s="20" t="s">
        <v>213</v>
      </c>
      <c r="E92" t="s">
        <v>216</v>
      </c>
    </row>
    <row r="93" spans="1:5" ht="14.5">
      <c r="A93" s="20" t="s">
        <v>197</v>
      </c>
      <c r="B93" s="20" t="s">
        <v>115</v>
      </c>
      <c r="E93" t="s">
        <v>217</v>
      </c>
    </row>
    <row r="94" spans="1:5" ht="14.5">
      <c r="A94" s="20" t="s">
        <v>218</v>
      </c>
      <c r="B94" s="20" t="s">
        <v>167</v>
      </c>
      <c r="E94" t="s">
        <v>219</v>
      </c>
    </row>
    <row r="95" spans="1:5" ht="14.5">
      <c r="A95" s="20" t="s">
        <v>220</v>
      </c>
      <c r="B95" s="20" t="s">
        <v>201</v>
      </c>
      <c r="E95" t="s">
        <v>221</v>
      </c>
    </row>
    <row r="96" spans="1:5" ht="14.5">
      <c r="A96" s="20" t="s">
        <v>222</v>
      </c>
      <c r="B96" s="20" t="s">
        <v>223</v>
      </c>
      <c r="E96" t="s">
        <v>224</v>
      </c>
    </row>
    <row r="97" spans="1:5" ht="14.5">
      <c r="A97" s="20" t="s">
        <v>225</v>
      </c>
      <c r="B97" s="20" t="s">
        <v>226</v>
      </c>
      <c r="E97" t="s">
        <v>227</v>
      </c>
    </row>
    <row r="98" spans="1:5" ht="14.5">
      <c r="A98" s="20" t="s">
        <v>199</v>
      </c>
      <c r="B98" s="20" t="s">
        <v>115</v>
      </c>
      <c r="E98" t="s">
        <v>228</v>
      </c>
    </row>
    <row r="99" spans="1:5" ht="14.5">
      <c r="A99" s="20" t="s">
        <v>200</v>
      </c>
      <c r="B99" s="20" t="s">
        <v>115</v>
      </c>
      <c r="D99" t="s">
        <v>165</v>
      </c>
    </row>
    <row r="100" spans="1:5" ht="14.5">
      <c r="A100" s="20" t="s">
        <v>229</v>
      </c>
      <c r="B100" s="20" t="s">
        <v>229</v>
      </c>
      <c r="E100" t="s">
        <v>165</v>
      </c>
    </row>
    <row r="101" spans="1:5" ht="14.5">
      <c r="A101" s="20" t="s">
        <v>202</v>
      </c>
      <c r="B101" s="20" t="s">
        <v>115</v>
      </c>
      <c r="D101" t="s">
        <v>170</v>
      </c>
    </row>
    <row r="102" spans="1:5" ht="14.5">
      <c r="A102" s="20" t="s">
        <v>230</v>
      </c>
      <c r="B102" s="20" t="s">
        <v>230</v>
      </c>
      <c r="E102" t="s">
        <v>170</v>
      </c>
    </row>
    <row r="103" spans="1:5" ht="14.5">
      <c r="A103" s="20" t="s">
        <v>231</v>
      </c>
      <c r="B103" s="20" t="s">
        <v>231</v>
      </c>
      <c r="D103" t="s">
        <v>171</v>
      </c>
    </row>
    <row r="104" spans="1:5" ht="14.5">
      <c r="A104" s="20" t="s">
        <v>232</v>
      </c>
      <c r="B104" s="20" t="s">
        <v>231</v>
      </c>
      <c r="E104" t="s">
        <v>171</v>
      </c>
    </row>
    <row r="105" spans="1:5" ht="14.5">
      <c r="A105" s="20" t="s">
        <v>204</v>
      </c>
      <c r="B105" s="20" t="s">
        <v>115</v>
      </c>
      <c r="E105" t="s">
        <v>172</v>
      </c>
    </row>
    <row r="106" spans="1:5" ht="14.5">
      <c r="A106" s="20" t="s">
        <v>205</v>
      </c>
      <c r="B106" s="20" t="s">
        <v>115</v>
      </c>
      <c r="E106" t="s">
        <v>188</v>
      </c>
    </row>
    <row r="107" spans="1:5" ht="14.5">
      <c r="A107" s="20" t="s">
        <v>206</v>
      </c>
      <c r="B107" s="20" t="s">
        <v>115</v>
      </c>
      <c r="E107" t="s">
        <v>189</v>
      </c>
    </row>
    <row r="108" spans="1:5" ht="14.5">
      <c r="A108" s="20" t="s">
        <v>208</v>
      </c>
      <c r="B108" s="20" t="s">
        <v>115</v>
      </c>
      <c r="D108" t="s">
        <v>178</v>
      </c>
    </row>
    <row r="109" spans="1:5" ht="14.5">
      <c r="A109" s="20" t="s">
        <v>233</v>
      </c>
      <c r="B109" s="20" t="s">
        <v>233</v>
      </c>
      <c r="E109" t="s">
        <v>178</v>
      </c>
    </row>
    <row r="110" spans="1:5" ht="14.5">
      <c r="A110" s="20" t="s">
        <v>234</v>
      </c>
      <c r="B110" s="20" t="s">
        <v>233</v>
      </c>
      <c r="D110" t="s">
        <v>179</v>
      </c>
    </row>
    <row r="111" spans="1:5" ht="14.5">
      <c r="A111" s="20" t="s">
        <v>235</v>
      </c>
      <c r="B111" s="20" t="s">
        <v>235</v>
      </c>
      <c r="E111" t="s">
        <v>179</v>
      </c>
    </row>
    <row r="112" spans="1:5" ht="14.5">
      <c r="A112" s="20" t="s">
        <v>236</v>
      </c>
      <c r="B112" s="20" t="s">
        <v>236</v>
      </c>
      <c r="E112" t="s">
        <v>180</v>
      </c>
    </row>
    <row r="113" spans="1:5" ht="14.5">
      <c r="A113" s="20" t="s">
        <v>237</v>
      </c>
      <c r="B113" s="20" t="s">
        <v>233</v>
      </c>
      <c r="E113" t="s">
        <v>181</v>
      </c>
    </row>
    <row r="114" spans="1:5" ht="14.5">
      <c r="A114" s="20" t="s">
        <v>238</v>
      </c>
      <c r="B114" s="20" t="s">
        <v>238</v>
      </c>
      <c r="D114" t="s">
        <v>182</v>
      </c>
    </row>
    <row r="115" spans="1:5" ht="14.5">
      <c r="A115" s="20" t="s">
        <v>239</v>
      </c>
      <c r="B115" s="20" t="s">
        <v>238</v>
      </c>
      <c r="E115" t="s">
        <v>182</v>
      </c>
    </row>
    <row r="116" spans="1:5" ht="14.5">
      <c r="A116" s="20" t="s">
        <v>240</v>
      </c>
      <c r="B116" s="20" t="s">
        <v>240</v>
      </c>
      <c r="D116" t="s">
        <v>184</v>
      </c>
    </row>
    <row r="117" spans="1:5" ht="14.5">
      <c r="A117" s="20" t="s">
        <v>210</v>
      </c>
      <c r="B117" s="20" t="s">
        <v>115</v>
      </c>
      <c r="E117" t="s">
        <v>184</v>
      </c>
    </row>
    <row r="118" spans="1:5" ht="14.5">
      <c r="A118" s="20" t="s">
        <v>241</v>
      </c>
      <c r="B118" s="20" t="s">
        <v>167</v>
      </c>
      <c r="D118" t="s">
        <v>186</v>
      </c>
    </row>
    <row r="119" spans="1:5" ht="14.5">
      <c r="A119" s="20" t="s">
        <v>242</v>
      </c>
      <c r="B119" s="20" t="s">
        <v>167</v>
      </c>
      <c r="E119" t="s">
        <v>186</v>
      </c>
    </row>
    <row r="120" spans="1:5" ht="14.5">
      <c r="A120" s="20" t="s">
        <v>243</v>
      </c>
      <c r="B120" s="20" t="s">
        <v>243</v>
      </c>
      <c r="D120" t="s">
        <v>187</v>
      </c>
    </row>
    <row r="121" spans="1:5" ht="14.5">
      <c r="A121" s="20" t="s">
        <v>142</v>
      </c>
      <c r="B121" s="20" t="s">
        <v>123</v>
      </c>
      <c r="E121" t="s">
        <v>187</v>
      </c>
    </row>
    <row r="122" spans="1:5" ht="14.5">
      <c r="A122" s="20" t="s">
        <v>211</v>
      </c>
      <c r="B122" s="20" t="s">
        <v>115</v>
      </c>
      <c r="D122" t="s">
        <v>190</v>
      </c>
    </row>
    <row r="123" spans="1:5" ht="14.5">
      <c r="A123" s="20" t="s">
        <v>214</v>
      </c>
      <c r="B123" s="20" t="s">
        <v>115</v>
      </c>
      <c r="E123" t="s">
        <v>190</v>
      </c>
    </row>
    <row r="124" spans="1:5" ht="14.5">
      <c r="A124" s="20" t="s">
        <v>244</v>
      </c>
      <c r="B124" s="20" t="s">
        <v>244</v>
      </c>
      <c r="D124" t="s">
        <v>167</v>
      </c>
    </row>
    <row r="125" spans="1:5" ht="14.5">
      <c r="A125" s="20" t="s">
        <v>216</v>
      </c>
      <c r="B125" s="20" t="s">
        <v>115</v>
      </c>
      <c r="E125" t="s">
        <v>166</v>
      </c>
    </row>
    <row r="126" spans="1:5" ht="14.5">
      <c r="A126" s="20" t="s">
        <v>245</v>
      </c>
      <c r="B126" s="20" t="s">
        <v>245</v>
      </c>
      <c r="E126" t="s">
        <v>174</v>
      </c>
    </row>
    <row r="127" spans="1:5" ht="14.5">
      <c r="A127" s="20" t="s">
        <v>217</v>
      </c>
      <c r="B127" s="20" t="s">
        <v>115</v>
      </c>
      <c r="E127" t="s">
        <v>176</v>
      </c>
    </row>
    <row r="128" spans="1:5" ht="14.5">
      <c r="A128" s="20" t="s">
        <v>219</v>
      </c>
      <c r="B128" s="20" t="s">
        <v>115</v>
      </c>
      <c r="E128" t="s">
        <v>177</v>
      </c>
    </row>
    <row r="129" spans="1:5" ht="14.5">
      <c r="A129" s="20" t="s">
        <v>221</v>
      </c>
      <c r="B129" s="20" t="s">
        <v>115</v>
      </c>
      <c r="E129" t="s">
        <v>185</v>
      </c>
    </row>
    <row r="130" spans="1:5" ht="14.5">
      <c r="A130" s="20" t="s">
        <v>224</v>
      </c>
      <c r="B130" s="20" t="s">
        <v>115</v>
      </c>
      <c r="E130" t="s">
        <v>191</v>
      </c>
    </row>
    <row r="131" spans="1:5" ht="14.5">
      <c r="A131" s="20" t="s">
        <v>246</v>
      </c>
      <c r="B131" s="20" t="s">
        <v>167</v>
      </c>
      <c r="E131" t="s">
        <v>192</v>
      </c>
    </row>
    <row r="132" spans="1:5" ht="14.5">
      <c r="A132" s="20" t="s">
        <v>247</v>
      </c>
      <c r="B132" s="20" t="s">
        <v>167</v>
      </c>
      <c r="E132" t="s">
        <v>194</v>
      </c>
    </row>
    <row r="133" spans="1:5" ht="14.5">
      <c r="A133" s="20" t="s">
        <v>248</v>
      </c>
      <c r="B133" s="20" t="s">
        <v>248</v>
      </c>
      <c r="E133" t="s">
        <v>47</v>
      </c>
    </row>
    <row r="134" spans="1:5" ht="14.5">
      <c r="A134" s="20" t="s">
        <v>227</v>
      </c>
      <c r="B134" s="20" t="s">
        <v>115</v>
      </c>
      <c r="E134" t="s">
        <v>198</v>
      </c>
    </row>
    <row r="135" spans="1:5" ht="14.5">
      <c r="A135" s="20" t="s">
        <v>249</v>
      </c>
      <c r="B135" s="20" t="s">
        <v>167</v>
      </c>
      <c r="E135" t="s">
        <v>167</v>
      </c>
    </row>
    <row r="136" spans="1:5" ht="14.5">
      <c r="A136" s="20" t="s">
        <v>250</v>
      </c>
      <c r="B136" s="20" t="s">
        <v>209</v>
      </c>
      <c r="E136" t="s">
        <v>218</v>
      </c>
    </row>
    <row r="137" spans="1:5" ht="14.5">
      <c r="A137" s="20" t="s">
        <v>251</v>
      </c>
      <c r="B137" s="20" t="s">
        <v>213</v>
      </c>
      <c r="E137" t="s">
        <v>241</v>
      </c>
    </row>
    <row r="138" spans="1:5" ht="14.5">
      <c r="A138" s="20" t="s">
        <v>252</v>
      </c>
      <c r="B138" s="20" t="s">
        <v>252</v>
      </c>
      <c r="E138" t="s">
        <v>242</v>
      </c>
    </row>
    <row r="139" spans="1:5" ht="14.5">
      <c r="A139" s="20" t="s">
        <v>253</v>
      </c>
      <c r="B139" s="20" t="s">
        <v>253</v>
      </c>
      <c r="E139" t="s">
        <v>246</v>
      </c>
    </row>
    <row r="140" spans="1:5" ht="14.5">
      <c r="A140" s="20" t="s">
        <v>254</v>
      </c>
      <c r="B140" s="20" t="s">
        <v>254</v>
      </c>
      <c r="E140" t="s">
        <v>247</v>
      </c>
    </row>
    <row r="141" spans="1:5" ht="14.5">
      <c r="A141" s="20" t="s">
        <v>255</v>
      </c>
      <c r="B141" s="20" t="s">
        <v>167</v>
      </c>
      <c r="E141" t="s">
        <v>249</v>
      </c>
    </row>
    <row r="142" spans="1:5" ht="14.5">
      <c r="A142" s="20" t="s">
        <v>228</v>
      </c>
      <c r="B142" s="20" t="s">
        <v>115</v>
      </c>
      <c r="E142" t="s">
        <v>255</v>
      </c>
    </row>
    <row r="143" spans="1:5" ht="14.5">
      <c r="A143" s="20" t="s">
        <v>256</v>
      </c>
      <c r="B143" s="20" t="s">
        <v>233</v>
      </c>
      <c r="D143" t="s">
        <v>201</v>
      </c>
    </row>
    <row r="144" spans="1:5" ht="14.5">
      <c r="A144" s="20" t="s">
        <v>150</v>
      </c>
      <c r="B144" s="20" t="s">
        <v>130</v>
      </c>
      <c r="E144" t="s">
        <v>201</v>
      </c>
    </row>
    <row r="145" spans="4:5">
      <c r="E145" t="s">
        <v>220</v>
      </c>
    </row>
    <row r="146" spans="4:5">
      <c r="D146" t="s">
        <v>203</v>
      </c>
    </row>
    <row r="147" spans="4:5">
      <c r="E147" t="s">
        <v>203</v>
      </c>
    </row>
    <row r="148" spans="4:5">
      <c r="D148" t="s">
        <v>223</v>
      </c>
    </row>
    <row r="149" spans="4:5">
      <c r="E149" t="s">
        <v>222</v>
      </c>
    </row>
    <row r="150" spans="4:5">
      <c r="D150" t="s">
        <v>207</v>
      </c>
    </row>
    <row r="151" spans="4:5">
      <c r="E151" t="s">
        <v>207</v>
      </c>
    </row>
    <row r="152" spans="4:5">
      <c r="D152" t="s">
        <v>213</v>
      </c>
    </row>
    <row r="153" spans="4:5">
      <c r="E153" t="s">
        <v>212</v>
      </c>
    </row>
    <row r="154" spans="4:5">
      <c r="E154" t="s">
        <v>215</v>
      </c>
    </row>
    <row r="155" spans="4:5">
      <c r="E155" t="s">
        <v>251</v>
      </c>
    </row>
    <row r="156" spans="4:5">
      <c r="D156" t="s">
        <v>226</v>
      </c>
    </row>
    <row r="157" spans="4:5">
      <c r="E157" t="s">
        <v>225</v>
      </c>
    </row>
    <row r="158" spans="4:5">
      <c r="D158" t="s">
        <v>229</v>
      </c>
    </row>
    <row r="159" spans="4:5">
      <c r="E159" t="s">
        <v>229</v>
      </c>
    </row>
    <row r="160" spans="4:5">
      <c r="D160" t="s">
        <v>230</v>
      </c>
    </row>
    <row r="161" spans="4:5">
      <c r="E161" t="s">
        <v>230</v>
      </c>
    </row>
    <row r="162" spans="4:5">
      <c r="D162" t="s">
        <v>231</v>
      </c>
    </row>
    <row r="163" spans="4:5">
      <c r="E163" t="s">
        <v>231</v>
      </c>
    </row>
    <row r="164" spans="4:5">
      <c r="E164" t="s">
        <v>232</v>
      </c>
    </row>
    <row r="165" spans="4:5">
      <c r="D165" t="s">
        <v>233</v>
      </c>
    </row>
    <row r="166" spans="4:5">
      <c r="E166" t="s">
        <v>233</v>
      </c>
    </row>
    <row r="167" spans="4:5">
      <c r="E167" t="s">
        <v>234</v>
      </c>
    </row>
    <row r="168" spans="4:5">
      <c r="E168" t="s">
        <v>256</v>
      </c>
    </row>
    <row r="169" spans="4:5">
      <c r="E169" t="s">
        <v>237</v>
      </c>
    </row>
    <row r="170" spans="4:5">
      <c r="D170" t="s">
        <v>235</v>
      </c>
    </row>
    <row r="171" spans="4:5">
      <c r="E171" t="s">
        <v>235</v>
      </c>
    </row>
    <row r="172" spans="4:5">
      <c r="D172" t="s">
        <v>236</v>
      </c>
    </row>
    <row r="173" spans="4:5">
      <c r="E173" t="s">
        <v>236</v>
      </c>
    </row>
    <row r="174" spans="4:5">
      <c r="D174" t="s">
        <v>238</v>
      </c>
    </row>
    <row r="175" spans="4:5">
      <c r="E175" t="s">
        <v>238</v>
      </c>
    </row>
    <row r="176" spans="4:5">
      <c r="E176" t="s">
        <v>239</v>
      </c>
    </row>
    <row r="177" spans="4:5">
      <c r="D177" t="s">
        <v>240</v>
      </c>
    </row>
    <row r="178" spans="4:5">
      <c r="E178" t="s">
        <v>240</v>
      </c>
    </row>
    <row r="179" spans="4:5">
      <c r="D179" t="s">
        <v>243</v>
      </c>
    </row>
    <row r="180" spans="4:5">
      <c r="E180" t="s">
        <v>243</v>
      </c>
    </row>
    <row r="181" spans="4:5">
      <c r="D181" t="s">
        <v>244</v>
      </c>
    </row>
    <row r="182" spans="4:5">
      <c r="E182" t="s">
        <v>244</v>
      </c>
    </row>
    <row r="183" spans="4:5">
      <c r="D183" t="s">
        <v>245</v>
      </c>
    </row>
    <row r="184" spans="4:5">
      <c r="E184" t="s">
        <v>245</v>
      </c>
    </row>
    <row r="185" spans="4:5">
      <c r="D185" t="s">
        <v>248</v>
      </c>
    </row>
    <row r="186" spans="4:5">
      <c r="E186" t="s">
        <v>248</v>
      </c>
    </row>
    <row r="187" spans="4:5">
      <c r="D187" t="s">
        <v>252</v>
      </c>
    </row>
    <row r="188" spans="4:5">
      <c r="E188" t="s">
        <v>252</v>
      </c>
    </row>
    <row r="189" spans="4:5">
      <c r="D189" t="s">
        <v>253</v>
      </c>
    </row>
    <row r="190" spans="4:5">
      <c r="E190" t="s">
        <v>253</v>
      </c>
    </row>
    <row r="191" spans="4:5">
      <c r="D191" t="s">
        <v>254</v>
      </c>
    </row>
    <row r="192" spans="4:5">
      <c r="E192" t="s">
        <v>254</v>
      </c>
    </row>
    <row r="193" spans="4:5">
      <c r="D193" t="s">
        <v>209</v>
      </c>
    </row>
    <row r="194" spans="4:5">
      <c r="E194" t="s">
        <v>209</v>
      </c>
    </row>
    <row r="195" spans="4:5">
      <c r="E195" t="s">
        <v>250</v>
      </c>
    </row>
    <row r="196" spans="4:5">
      <c r="D196" t="s">
        <v>257</v>
      </c>
    </row>
  </sheetData>
  <autoFilter ref="A1:B144"/>
  <conditionalFormatting sqref="A1:A142">
    <cfRule type="duplicateValues" dxfId="0" priority="1"/>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
  <sheetViews>
    <sheetView view="pageBreakPreview" zoomScale="130" zoomScaleNormal="100" workbookViewId="0">
      <selection activeCell="C14" sqref="C14"/>
    </sheetView>
  </sheetViews>
  <sheetFormatPr defaultColWidth="9.08984375" defaultRowHeight="12.5"/>
  <cols>
    <col min="1" max="1" width="3.08984375" style="24" customWidth="1"/>
    <col min="2" max="2" width="14.453125" style="24" customWidth="1"/>
    <col min="3" max="3" width="43.54296875" style="24" customWidth="1"/>
    <col min="4" max="4" width="15.54296875" style="24" customWidth="1"/>
    <col min="5" max="5" width="18.36328125" style="24" customWidth="1"/>
    <col min="6" max="6" width="16" style="24" customWidth="1"/>
    <col min="7" max="7" width="9.453125" style="24" customWidth="1"/>
    <col min="8" max="16384" width="9.08984375" style="24"/>
  </cols>
  <sheetData>
    <row r="1" spans="1:7" s="23" customFormat="1" ht="20.25" customHeight="1">
      <c r="A1" s="145" t="s">
        <v>258</v>
      </c>
      <c r="B1" s="145"/>
      <c r="C1" s="145"/>
      <c r="D1" s="145"/>
      <c r="E1" s="145"/>
      <c r="F1" s="145"/>
      <c r="G1" s="145"/>
    </row>
    <row r="2" spans="1:7" ht="13">
      <c r="B2" s="25" t="s">
        <v>259</v>
      </c>
      <c r="C2" s="25" t="s">
        <v>260</v>
      </c>
      <c r="D2" s="25" t="s">
        <v>261</v>
      </c>
      <c r="E2" s="25" t="s">
        <v>262</v>
      </c>
      <c r="F2" s="25" t="s">
        <v>263</v>
      </c>
    </row>
    <row r="3" spans="1:7" ht="13.5">
      <c r="B3" s="26" t="s">
        <v>264</v>
      </c>
      <c r="C3" s="27" t="s">
        <v>265</v>
      </c>
      <c r="D3" s="28" t="s">
        <v>266</v>
      </c>
      <c r="E3" s="29"/>
      <c r="F3" s="30"/>
    </row>
    <row r="4" spans="1:7" ht="13">
      <c r="B4" s="31" t="s">
        <v>267</v>
      </c>
      <c r="C4" s="30" t="s">
        <v>268</v>
      </c>
      <c r="D4" s="30" t="s">
        <v>269</v>
      </c>
      <c r="E4" s="30"/>
      <c r="F4" s="30"/>
    </row>
    <row r="5" spans="1:7" ht="13">
      <c r="B5" s="31" t="s">
        <v>270</v>
      </c>
      <c r="C5" s="30" t="s">
        <v>271</v>
      </c>
      <c r="D5" s="30" t="s">
        <v>272</v>
      </c>
      <c r="E5" s="30"/>
      <c r="F5" s="30"/>
    </row>
    <row r="6" spans="1:7" s="23" customFormat="1" ht="20.25" customHeight="1">
      <c r="A6" s="145" t="s">
        <v>273</v>
      </c>
      <c r="B6" s="145"/>
      <c r="C6" s="145"/>
      <c r="D6" s="145"/>
      <c r="E6" s="145"/>
      <c r="F6" s="145"/>
      <c r="G6" s="145"/>
    </row>
    <row r="7" spans="1:7">
      <c r="A7" s="24" t="s">
        <v>274</v>
      </c>
    </row>
    <row r="9" spans="1:7" ht="26">
      <c r="B9" s="25" t="s">
        <v>275</v>
      </c>
      <c r="C9" s="25" t="s">
        <v>276</v>
      </c>
      <c r="D9" s="25"/>
      <c r="E9" s="25" t="s">
        <v>277</v>
      </c>
      <c r="F9" s="25" t="s">
        <v>278</v>
      </c>
      <c r="G9" s="25" t="s">
        <v>4</v>
      </c>
    </row>
    <row r="10" spans="1:7">
      <c r="B10" s="32"/>
      <c r="C10" s="33"/>
      <c r="D10" s="33"/>
      <c r="E10" s="33"/>
      <c r="F10" s="33"/>
      <c r="G10" s="33"/>
    </row>
    <row r="11" spans="1:7">
      <c r="B11" s="33"/>
      <c r="C11" s="33"/>
      <c r="D11" s="33"/>
      <c r="E11" s="33"/>
      <c r="F11" s="33"/>
      <c r="G11" s="33"/>
    </row>
    <row r="12" spans="1:7">
      <c r="B12" s="33"/>
      <c r="C12" s="33"/>
      <c r="D12" s="33"/>
      <c r="E12" s="33"/>
      <c r="F12" s="33"/>
      <c r="G12" s="33"/>
    </row>
    <row r="13" spans="1:7">
      <c r="B13" s="33"/>
      <c r="C13" s="33"/>
      <c r="D13" s="33"/>
      <c r="E13" s="33"/>
      <c r="F13" s="33"/>
      <c r="G13" s="33"/>
    </row>
    <row r="14" spans="1:7">
      <c r="B14" s="33"/>
      <c r="C14" s="33"/>
      <c r="D14" s="33"/>
      <c r="E14" s="33"/>
      <c r="F14" s="33"/>
      <c r="G14" s="33"/>
    </row>
    <row r="15" spans="1:7">
      <c r="B15" s="33"/>
      <c r="C15" s="33"/>
      <c r="D15" s="33"/>
      <c r="E15" s="33"/>
      <c r="F15" s="33"/>
      <c r="G15" s="33"/>
    </row>
    <row r="16" spans="1:7">
      <c r="B16" s="33"/>
      <c r="C16" s="33"/>
      <c r="D16" s="33"/>
      <c r="E16" s="33"/>
      <c r="F16" s="33"/>
      <c r="G16" s="33"/>
    </row>
  </sheetData>
  <mergeCells count="2">
    <mergeCell ref="A1:G1"/>
    <mergeCell ref="A6:G6"/>
  </mergeCells>
  <pageMargins left="0.7" right="0.41" top="0.75" bottom="0.75" header="0.3" footer="0.3"/>
  <pageSetup paperSize="9" scale="96" orientation="portrait" r:id="rId1"/>
  <headerFooter>
    <oddFooter>&amp;L18e-BM/DT/FSOFT v1/1&amp;CInternal use&amp;R&amp;P/&amp;N</oddFooter>
  </headerFooter>
  <customProperties>
    <customPr name="DVSECTION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
  <sheetViews>
    <sheetView workbookViewId="0">
      <selection activeCell="E10" sqref="E10"/>
    </sheetView>
  </sheetViews>
  <sheetFormatPr defaultColWidth="9.453125" defaultRowHeight="12.5"/>
  <cols>
    <col min="1" max="1" width="6.54296875" style="1" customWidth="1"/>
    <col min="2" max="2" width="14.54296875" style="1" customWidth="1"/>
    <col min="3" max="3" width="12.453125" style="1" customWidth="1"/>
    <col min="4" max="4" width="40.453125" style="1" customWidth="1"/>
    <col min="5" max="5" width="37" style="1" customWidth="1"/>
    <col min="6" max="7" width="18.54296875" style="1" customWidth="1"/>
    <col min="8" max="8" width="12.54296875" style="1" customWidth="1"/>
    <col min="9" max="16384" width="9.453125" style="1"/>
  </cols>
  <sheetData>
    <row r="2" spans="1:256" ht="13">
      <c r="A2" s="2"/>
      <c r="B2" s="3" t="s">
        <v>279</v>
      </c>
      <c r="D2" s="4"/>
      <c r="E2" s="4"/>
      <c r="F2" s="4"/>
      <c r="G2" s="4"/>
      <c r="H2" s="4"/>
      <c r="I2" s="4"/>
    </row>
    <row r="3" spans="1:256">
      <c r="A3" s="5"/>
      <c r="C3" s="6"/>
      <c r="D3" s="4"/>
      <c r="E3" s="4"/>
      <c r="F3" s="4"/>
      <c r="G3" s="4"/>
      <c r="H3" s="4"/>
      <c r="I3" s="4"/>
    </row>
    <row r="4" spans="1:256" ht="13">
      <c r="A4" s="7" t="s">
        <v>280</v>
      </c>
      <c r="B4" s="8" t="s">
        <v>6</v>
      </c>
      <c r="C4" s="8" t="s">
        <v>4</v>
      </c>
      <c r="D4" s="8" t="s">
        <v>281</v>
      </c>
      <c r="E4" s="8" t="s">
        <v>282</v>
      </c>
      <c r="F4" s="8" t="s">
        <v>267</v>
      </c>
      <c r="G4" s="8" t="s">
        <v>270</v>
      </c>
      <c r="H4" s="9"/>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pans="1:256" ht="62.5">
      <c r="A5" s="10" t="s">
        <v>283</v>
      </c>
      <c r="B5" s="11" t="s">
        <v>284</v>
      </c>
      <c r="C5" s="73" t="s">
        <v>285</v>
      </c>
      <c r="D5" s="74" t="s">
        <v>286</v>
      </c>
      <c r="E5" s="74" t="s">
        <v>287</v>
      </c>
      <c r="F5" s="13" t="s">
        <v>288</v>
      </c>
      <c r="G5" s="13" t="s">
        <v>289</v>
      </c>
      <c r="H5" s="14"/>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row>
    <row r="6" spans="1:256" ht="14">
      <c r="A6" s="10" t="s">
        <v>290</v>
      </c>
      <c r="B6" s="11" t="s">
        <v>291</v>
      </c>
      <c r="C6" s="73" t="s">
        <v>292</v>
      </c>
      <c r="D6" s="15" t="s">
        <v>293</v>
      </c>
      <c r="E6" s="13" t="s">
        <v>294</v>
      </c>
      <c r="F6" s="13" t="s">
        <v>288</v>
      </c>
      <c r="G6" s="13" t="s">
        <v>289</v>
      </c>
    </row>
    <row r="7" spans="1:256" ht="25">
      <c r="A7" s="10" t="s">
        <v>295</v>
      </c>
      <c r="B7" s="75" t="s">
        <v>7</v>
      </c>
      <c r="C7" s="73" t="s">
        <v>5</v>
      </c>
      <c r="D7" s="13" t="s">
        <v>296</v>
      </c>
      <c r="E7" s="13" t="s">
        <v>294</v>
      </c>
      <c r="F7" s="13" t="s">
        <v>288</v>
      </c>
      <c r="G7" s="13" t="s">
        <v>289</v>
      </c>
    </row>
    <row r="8" spans="1:256">
      <c r="A8" s="10"/>
      <c r="B8" s="16"/>
      <c r="C8" s="12"/>
      <c r="D8" s="13"/>
      <c r="E8" s="13"/>
      <c r="F8" s="13"/>
      <c r="G8"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Syllabus</vt:lpstr>
      <vt:lpstr>Schedule</vt:lpstr>
      <vt:lpstr>Map Supplier</vt:lpstr>
      <vt:lpstr>Author and Rec of Changes</vt:lpstr>
      <vt:lpstr>Record Of 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Training Topic Syllabus</dc:title>
  <dc:subject>1/1</dc:subject>
  <dc:creator>Nguyen Trung Kien</dc:creator>
  <cp:keywords>Syllabus</cp:keywords>
  <dc:description>- Sửa đổi toàn bộ cấu trúc &amp; nội dung tài liệu
Lý do:
Phục vụ nhu cầu thực tế</dc:description>
  <cp:lastModifiedBy>Phan Thi Xuan (CTC.TOD.HN)</cp:lastModifiedBy>
  <cp:revision/>
  <dcterms:created xsi:type="dcterms:W3CDTF">2010-11-19T03:46:00Z</dcterms:created>
  <dcterms:modified xsi:type="dcterms:W3CDTF">2025-05-16T09:29:31Z</dcterms:modified>
  <cp:category>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B3D9EAE859CE45F095714120C1BD72DC_13</vt:lpwstr>
  </property>
  <property fmtid="{D5CDD505-2E9C-101B-9397-08002B2CF9AE}" pid="3" name="KSOProductBuildVer">
    <vt:lpwstr>1033-12.2.0.19805</vt:lpwstr>
  </property>
</Properties>
</file>